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3\01\"/>
    </mc:Choice>
  </mc:AlternateContent>
  <xr:revisionPtr revIDLastSave="0" documentId="13_ncr:1_{DA2075F6-3C07-474E-9851-99491412597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 iterate="1"/>
  <customWorkbookViews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" i="4" l="1"/>
  <c r="AD19" i="4"/>
  <c r="AD18" i="4"/>
  <c r="AD16" i="4"/>
  <c r="AD12" i="4"/>
  <c r="AD11" i="4"/>
  <c r="AD10" i="4"/>
  <c r="AD53" i="4"/>
  <c r="AD41" i="4"/>
  <c r="AD40" i="4"/>
  <c r="AD51" i="4"/>
  <c r="AD28" i="4"/>
  <c r="AD26" i="4"/>
  <c r="AD52" i="4"/>
  <c r="AD49" i="4"/>
  <c r="AD48" i="4"/>
  <c r="AD39" i="4"/>
  <c r="AD36" i="4"/>
  <c r="AD25" i="4"/>
  <c r="AD56" i="4"/>
  <c r="AD15" i="4"/>
  <c r="AD33" i="4"/>
  <c r="AD32" i="4"/>
  <c r="V28" i="4"/>
  <c r="V26" i="4"/>
  <c r="AC54" i="4"/>
  <c r="AC50" i="4"/>
  <c r="AC48" i="4"/>
  <c r="AC45" i="4"/>
  <c r="AC41" i="4"/>
  <c r="AC40" i="4"/>
  <c r="AC39" i="4"/>
  <c r="AC38" i="4"/>
  <c r="AC37" i="4" s="1"/>
  <c r="AC36" i="4"/>
  <c r="AC31" i="4"/>
  <c r="AC29" i="4"/>
  <c r="AC28" i="4"/>
  <c r="AC27" i="4"/>
  <c r="AC26" i="4"/>
  <c r="AC25" i="4"/>
  <c r="AC24" i="4"/>
  <c r="AC23" i="4" s="1"/>
  <c r="AC22" i="4" s="1"/>
  <c r="AC20" i="4"/>
  <c r="AC19" i="4"/>
  <c r="AC17" i="4"/>
  <c r="AC16" i="4"/>
  <c r="AC15" i="4"/>
  <c r="AC10" i="4"/>
  <c r="AC9" i="4"/>
  <c r="AC7" i="4" l="1"/>
  <c r="AC8" i="4" s="1"/>
  <c r="AF15" i="4"/>
  <c r="AF10" i="4"/>
  <c r="V18" i="4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B28" i="4"/>
  <c r="AB26" i="4"/>
  <c r="AD54" i="4" l="1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10" i="4"/>
  <c r="Y60" i="4"/>
  <c r="V54" i="4"/>
  <c r="Y18" i="4"/>
  <c r="Y20" i="4"/>
  <c r="Y19" i="4"/>
  <c r="Y16" i="4"/>
  <c r="Y15" i="4"/>
  <c r="Y14" i="4"/>
  <c r="Y13" i="4"/>
  <c r="Y12" i="4"/>
  <c r="Y11" i="4"/>
  <c r="AA28" i="4" l="1"/>
  <c r="AA26" i="4"/>
  <c r="U10" i="4" l="1"/>
  <c r="T50" i="4"/>
  <c r="S50" i="4"/>
  <c r="T17" i="4"/>
  <c r="T9" i="4" s="1"/>
  <c r="T24" i="4"/>
  <c r="T23" i="4" s="1"/>
  <c r="T27" i="4"/>
  <c r="T29" i="4"/>
  <c r="T31" i="4"/>
  <c r="T38" i="4"/>
  <c r="T37" i="4" s="1"/>
  <c r="T45" i="4"/>
  <c r="T54" i="4"/>
  <c r="S54" i="4"/>
  <c r="S45" i="4"/>
  <c r="S42" i="4"/>
  <c r="S40" i="4"/>
  <c r="S38" i="4"/>
  <c r="S37" i="4"/>
  <c r="S31" i="4"/>
  <c r="S29" i="4"/>
  <c r="S28" i="4"/>
  <c r="S27" i="4" s="1"/>
  <c r="S26" i="4"/>
  <c r="S24" i="4" s="1"/>
  <c r="S23" i="4" s="1"/>
  <c r="S22" i="4" s="1"/>
  <c r="S25" i="4"/>
  <c r="S19" i="4"/>
  <c r="S18" i="4"/>
  <c r="S17" i="4"/>
  <c r="S9" i="4" s="1"/>
  <c r="T22" i="4" l="1"/>
  <c r="T7" i="4" s="1"/>
  <c r="T8" i="4" s="1"/>
  <c r="S7" i="4"/>
  <c r="S8" i="4" s="1"/>
  <c r="AG52" i="4" l="1"/>
  <c r="AG53" i="4"/>
  <c r="AF52" i="4"/>
  <c r="AF35" i="4"/>
  <c r="AQ35" i="4" s="1"/>
  <c r="AF33" i="4"/>
  <c r="Y52" i="4"/>
  <c r="Y53" i="4"/>
  <c r="Y51" i="4"/>
  <c r="V50" i="4"/>
  <c r="W50" i="4"/>
  <c r="X50" i="4"/>
  <c r="U52" i="4"/>
  <c r="U53" i="4"/>
  <c r="U51" i="4"/>
  <c r="U50" i="4" s="1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3" i="4" l="1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6" i="4"/>
  <c r="AF47" i="4"/>
  <c r="X17" i="4" l="1"/>
  <c r="V24" i="4" l="1"/>
  <c r="AE63" i="4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AQ59" i="4" s="1"/>
  <c r="Y59" i="4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AO55" i="4" s="1"/>
  <c r="Y55" i="4"/>
  <c r="U55" i="4"/>
  <c r="R55" i="4"/>
  <c r="P55" i="4"/>
  <c r="M55" i="4"/>
  <c r="K55" i="4"/>
  <c r="AM54" i="4"/>
  <c r="AB54" i="4"/>
  <c r="AA54" i="4"/>
  <c r="Z54" i="4"/>
  <c r="X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AF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M37" i="4" s="1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AK30" i="4" s="1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R18" i="4"/>
  <c r="P18" i="4"/>
  <c r="M18" i="4"/>
  <c r="K18" i="4"/>
  <c r="K17" i="4" s="1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U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R17" i="4" l="1"/>
  <c r="U17" i="4"/>
  <c r="AN11" i="4"/>
  <c r="AQ11" i="4"/>
  <c r="AN56" i="4"/>
  <c r="AO56" i="4"/>
  <c r="AK56" i="4"/>
  <c r="AQ62" i="4"/>
  <c r="Y54" i="4"/>
  <c r="AQ43" i="4"/>
  <c r="AN19" i="4"/>
  <c r="AH61" i="4"/>
  <c r="AL57" i="4"/>
  <c r="AO57" i="4"/>
  <c r="AN58" i="4"/>
  <c r="AO58" i="4"/>
  <c r="AO14" i="4"/>
  <c r="AQ14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R37" i="4"/>
  <c r="K54" i="4"/>
  <c r="U54" i="4"/>
  <c r="AN42" i="4"/>
  <c r="AL13" i="4"/>
  <c r="AN46" i="4"/>
  <c r="AP21" i="4"/>
  <c r="Y45" i="4"/>
  <c r="Y17" i="4"/>
  <c r="Y9" i="4" s="1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K14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Q51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Q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Q45" i="4" s="1"/>
  <c r="AJ48" i="4"/>
  <c r="AT51" i="4"/>
  <c r="AT50" i="4" s="1"/>
  <c r="J63" i="4"/>
  <c r="AF54" i="4"/>
  <c r="AS55" i="4"/>
  <c r="M54" i="4"/>
  <c r="AI55" i="4"/>
  <c r="AH41" i="4"/>
  <c r="AH13" i="4"/>
  <c r="AR13" i="4"/>
  <c r="AN15" i="4"/>
  <c r="AR18" i="4"/>
  <c r="AJ18" i="4"/>
  <c r="AI18" i="4"/>
  <c r="AF17" i="4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P1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O8" i="4" l="1"/>
  <c r="AS24" i="4"/>
  <c r="AO24" i="4"/>
  <c r="AF9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Y7" i="4" s="1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AA63" i="4" l="1"/>
  <c r="P8" i="4"/>
  <c r="V3" i="4"/>
  <c r="W8" i="4"/>
  <c r="V65" i="4"/>
  <c r="AG7" i="4"/>
  <c r="Y8" i="4"/>
  <c r="Y63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Z3" i="4" l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G63" i="4" l="1"/>
  <c r="AL63" i="4"/>
  <c r="AK63" i="4"/>
  <c r="AR63" i="4"/>
  <c r="AJ63" i="4"/>
  <c r="AQ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/>
</calcChain>
</file>

<file path=xl/sharedStrings.xml><?xml version="1.0" encoding="utf-8"?>
<sst xmlns="http://schemas.openxmlformats.org/spreadsheetml/2006/main" count="133" uniqueCount="109">
  <si>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</si>
  <si>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</si>
  <si>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</si>
  <si>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</si>
  <si>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</si>
  <si>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</si>
  <si>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</si>
  <si>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</si>
  <si>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</si>
  <si>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</si>
  <si>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</si>
  <si>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</si>
  <si>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</si>
  <si>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</si>
  <si>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</si>
  <si>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</si>
  <si>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</si>
  <si>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</si>
  <si>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</si>
  <si>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</si>
  <si>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</si>
  <si>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</si>
  <si>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</si>
  <si>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</si>
  <si>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</si>
  <si>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</si>
  <si>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</si>
  <si>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</si>
  <si>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</si>
  <si>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</si>
  <si>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</si>
  <si>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</si>
  <si>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</si>
  <si>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</si>
  <si>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</si>
  <si>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</si>
  <si>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</si>
  <si>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</si>
  <si>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</si>
  <si>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</si>
  <si>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</si>
  <si>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</si>
  <si>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</si>
  <si>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</si>
  <si>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</si>
  <si>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</si>
  <si>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</si>
  <si>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</si>
  <si>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</si>
  <si>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</si>
  <si>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</si>
  <si>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</si>
  <si>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</si>
  <si>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</si>
  <si>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</si>
  <si>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</si>
  <si>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</si>
  <si>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</si>
  <si>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</si>
  <si>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</si>
  <si>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</si>
  <si>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</si>
  <si>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</si>
  <si>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</si>
  <si>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</si>
  <si>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</si>
  <si>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</si>
  <si>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</si>
  <si>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 год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</si>
  <si>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</si>
  <si>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</si>
  <si>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</si>
  <si>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</si>
  <si>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</si>
  <si>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</si>
  <si>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</si>
  <si>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</si>
  <si>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</si>
  <si>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</si>
  <si>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</si>
  <si>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</si>
  <si>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</si>
  <si>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</si>
  <si>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</si>
  <si>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</si>
  <si>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</si>
  <si>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</si>
  <si>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</si>
  <si>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</si>
  <si>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</si>
  <si>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</si>
  <si>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</si>
  <si>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</si>
  <si>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</si>
  <si>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</si>
  <si>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744 1 13 01994 14 2000 130</t>
  </si>
  <si>
    <t>откл.+- от уточненного годового плана 2024 г</t>
  </si>
  <si>
    <t>План по доходам на 2024 г (уточненный)</t>
  </si>
  <si>
    <t>на 2 месяца 2024 года</t>
  </si>
  <si>
    <t>откл.+- от плана за 2 месяца 2024 года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</si>
  <si>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</si>
  <si>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Исполнено с 01.01.2023 по 28.02.2023 год</t>
  </si>
  <si>
    <r>
      <t>Исполнено с 01.01.2023 года по 28.02.2023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</si>
  <si>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Исполнение с 01.01.2024 по 22.02.2024
(53,08%)</t>
  </si>
  <si>
    <r>
      <t xml:space="preserve">Исполнение с 01.01.2024 по 29.02.2024
</t>
    </r>
    <r>
      <rPr>
        <b/>
        <sz val="14"/>
        <rFont val="Times New Roman"/>
        <family val="1"/>
        <charset val="204"/>
      </rPr>
      <t>(53,08%)</t>
    </r>
  </si>
  <si>
    <t>с 16.02.2024 по 22.02.2024 (неделя) П</t>
  </si>
  <si>
    <t>с 26.02.2024 по 29.02.2024 (неделя) Т</t>
  </si>
  <si>
    <t>откл.+- от исполнения на 28.02.2023 г  (в сопоставимых условиях 2024 года)</t>
  </si>
  <si>
    <t>Исполнение бюджета Благодарненского муниципального округа Ставропольского края по доходам по состоянию на 29.02.2024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</si>
</sst>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3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164" fontId="3" fillId="13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6" xfId="1" applyFont="1" applyFill="1" applyBorder="1" applyAlignment="1" applyProtection="1">
      <alignment horizontal="center" vertical="center" wrapText="1"/>
      <protection hidden="1"/>
    </xf>
    <xf numFmtId="0" fontId="4" fillId="3" borderId="7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left" vertical="top" wrapText="1"/>
      <protection hidden="1"/>
    </xf>
    <xf numFmtId="4" fontId="5" fillId="0" borderId="0" xfId="1" applyNumberFormat="1" applyFont="1" applyAlignment="1">
      <alignment horizontal="center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8" sqref="A8:XFD5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3.7109375" style="1" customWidth="1"/>
    <col min="22" max="22" width="23.7109375" style="1" hidden="1" customWidth="1"/>
    <col min="23" max="23" width="21.140625" style="1" hidden="1" customWidth="1"/>
    <col min="24" max="24" width="22.14062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26.42578125" style="1" hidden="1" customWidth="1"/>
    <col min="32" max="32" width="24.570312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18" t="s">
        <v>108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3.4486679762273753</v>
      </c>
      <c r="U3" s="104"/>
      <c r="V3" s="106">
        <f>V8/S8%</f>
        <v>3.8304154654401543</v>
      </c>
      <c r="W3" s="106"/>
      <c r="X3" s="105"/>
      <c r="Y3" s="80"/>
      <c r="Z3" s="80">
        <f>U3-Y63</f>
        <v>-313887725.91409546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19" t="s">
        <v>34</v>
      </c>
      <c r="J4" s="120" t="s">
        <v>45</v>
      </c>
      <c r="K4" s="120" t="s">
        <v>51</v>
      </c>
      <c r="L4" s="121" t="s">
        <v>56</v>
      </c>
      <c r="M4" s="120" t="s">
        <v>54</v>
      </c>
      <c r="N4" s="120" t="s">
        <v>53</v>
      </c>
      <c r="O4" s="121" t="s">
        <v>50</v>
      </c>
      <c r="P4" s="120" t="s">
        <v>63</v>
      </c>
      <c r="Q4" s="121" t="s">
        <v>65</v>
      </c>
      <c r="R4" s="120" t="s">
        <v>64</v>
      </c>
      <c r="S4" s="127" t="s">
        <v>83</v>
      </c>
      <c r="T4" s="121" t="s">
        <v>82</v>
      </c>
      <c r="U4" s="120" t="s">
        <v>84</v>
      </c>
      <c r="V4" s="121" t="s">
        <v>101</v>
      </c>
      <c r="W4" s="122" t="s">
        <v>76</v>
      </c>
      <c r="X4" s="137" t="s">
        <v>81</v>
      </c>
      <c r="Y4" s="120" t="s">
        <v>102</v>
      </c>
      <c r="Z4" s="129" t="s">
        <v>66</v>
      </c>
      <c r="AA4" s="131" t="s">
        <v>97</v>
      </c>
      <c r="AB4" s="132"/>
      <c r="AC4" s="128" t="s">
        <v>57</v>
      </c>
      <c r="AD4" s="128"/>
      <c r="AE4" s="133" t="s">
        <v>103</v>
      </c>
      <c r="AF4" s="120" t="s">
        <v>104</v>
      </c>
      <c r="AG4" s="125" t="s">
        <v>43</v>
      </c>
      <c r="AH4" s="127" t="s">
        <v>67</v>
      </c>
      <c r="AI4" s="127"/>
      <c r="AJ4" s="128" t="s">
        <v>96</v>
      </c>
      <c r="AK4" s="128"/>
      <c r="AL4" s="128" t="s">
        <v>52</v>
      </c>
      <c r="AM4" s="128"/>
      <c r="AN4" s="128" t="s">
        <v>99</v>
      </c>
      <c r="AO4" s="128"/>
      <c r="AP4" s="128" t="s">
        <v>107</v>
      </c>
      <c r="AQ4" s="128"/>
      <c r="AR4" s="128" t="s">
        <v>55</v>
      </c>
      <c r="AS4" s="128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19"/>
      <c r="J5" s="120"/>
      <c r="K5" s="120"/>
      <c r="L5" s="121"/>
      <c r="M5" s="120"/>
      <c r="N5" s="120"/>
      <c r="O5" s="121"/>
      <c r="P5" s="120"/>
      <c r="Q5" s="121"/>
      <c r="R5" s="120"/>
      <c r="S5" s="127"/>
      <c r="T5" s="121"/>
      <c r="U5" s="120"/>
      <c r="V5" s="121"/>
      <c r="W5" s="123"/>
      <c r="X5" s="137"/>
      <c r="Y5" s="120"/>
      <c r="Z5" s="130"/>
      <c r="AA5" s="41" t="s">
        <v>68</v>
      </c>
      <c r="AB5" s="107" t="s">
        <v>98</v>
      </c>
      <c r="AC5" s="79" t="s">
        <v>105</v>
      </c>
      <c r="AD5" s="79" t="s">
        <v>106</v>
      </c>
      <c r="AE5" s="134"/>
      <c r="AF5" s="120"/>
      <c r="AG5" s="126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35" t="s">
        <v>8</v>
      </c>
      <c r="C7" s="135"/>
      <c r="D7" s="135"/>
      <c r="E7" s="135"/>
      <c r="F7" s="135"/>
      <c r="G7" s="135"/>
      <c r="H7" s="135"/>
      <c r="I7" s="135"/>
      <c r="J7" s="44">
        <f t="shared" ref="J7:P7" si="0">J10+J11+J13+J14+J15+J16+J17+J20+J23+J36+J37+J45+J48+J50+J12</f>
        <v>360649780.94999993</v>
      </c>
      <c r="K7" s="44">
        <f t="shared" si="0"/>
        <v>345047273.09513432</v>
      </c>
      <c r="L7" s="44">
        <f t="shared" si="0"/>
        <v>126453042.85999998</v>
      </c>
      <c r="M7" s="44">
        <f t="shared" si="0"/>
        <v>119749481.37554319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21486131.02</v>
      </c>
      <c r="W7" s="44">
        <f>V7/S7%</f>
        <v>5.2426110899425504</v>
      </c>
      <c r="X7" s="44">
        <f>X9+X22</f>
        <v>0</v>
      </c>
      <c r="Y7" s="44">
        <f>Y9+Y22</f>
        <v>27469084.464095473</v>
      </c>
      <c r="Z7" s="44">
        <f t="shared" ref="Z7:AF7" si="2">Z9+Z22</f>
        <v>400415099.64999998</v>
      </c>
      <c r="AA7" s="44">
        <f t="shared" si="2"/>
        <v>577574635.84000003</v>
      </c>
      <c r="AB7" s="44">
        <f t="shared" si="2"/>
        <v>48366164.789999999</v>
      </c>
      <c r="AC7" s="44">
        <f t="shared" si="2"/>
        <v>3636495.3900000006</v>
      </c>
      <c r="AD7" s="44">
        <f t="shared" ref="AD7" si="3">AD9+AD22</f>
        <v>35427874.049999997</v>
      </c>
      <c r="AE7" s="44">
        <v>39995097.160000004</v>
      </c>
      <c r="AF7" s="44">
        <f t="shared" si="2"/>
        <v>75422971.209999993</v>
      </c>
      <c r="AG7" s="44">
        <f>AD7-AC7</f>
        <v>31791378.659999996</v>
      </c>
      <c r="AH7" s="44">
        <f t="shared" ref="AH7:AH63" si="4">AF7-Z7</f>
        <v>-324992128.44</v>
      </c>
      <c r="AI7" s="44">
        <f t="shared" ref="AI7:AI28" si="5">AF7/Z7*100</f>
        <v>18.836195557042352</v>
      </c>
      <c r="AJ7" s="44">
        <f>AF7-AA7</f>
        <v>-502151664.63000005</v>
      </c>
      <c r="AK7" s="44">
        <f>AF7/AA7%</f>
        <v>13.058567071649195</v>
      </c>
      <c r="AL7" s="44" t="e">
        <f>AF7-#REF!</f>
        <v>#REF!</v>
      </c>
      <c r="AM7" s="44" t="e">
        <f>IF(#REF!=0,0,AF7/#REF!*100)</f>
        <v>#REF!</v>
      </c>
      <c r="AN7" s="44">
        <f>AF7-AB7</f>
        <v>27056806.419999994</v>
      </c>
      <c r="AO7" s="44">
        <f>AF7/AB7*100</f>
        <v>155.94159995417738</v>
      </c>
      <c r="AP7" s="44">
        <f>AF7-Y7</f>
        <v>47953886.74590452</v>
      </c>
      <c r="AQ7" s="44">
        <f>AF7/Y7%</f>
        <v>274.57402633343855</v>
      </c>
      <c r="AR7" s="44">
        <f>AF7-M7</f>
        <v>-44326510.165543199</v>
      </c>
      <c r="AS7" s="44">
        <f>IF(M7=0,0,AF7/M7*100)</f>
        <v>62.983964810225778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14175641.309999999</v>
      </c>
      <c r="W8" s="44">
        <f t="shared" ref="W8:W9" si="7">V8/S8%</f>
        <v>3.8304154654401543</v>
      </c>
      <c r="X8" s="52">
        <f t="shared" ref="X8:AC8" si="8">X7-X37-X53</f>
        <v>0</v>
      </c>
      <c r="Y8" s="52">
        <f t="shared" si="8"/>
        <v>20158594.754095472</v>
      </c>
      <c r="Z8" s="52">
        <f t="shared" si="8"/>
        <v>372608810</v>
      </c>
      <c r="AA8" s="52">
        <f t="shared" si="8"/>
        <v>545150607.50999999</v>
      </c>
      <c r="AB8" s="52">
        <f t="shared" si="8"/>
        <v>43671487.489999995</v>
      </c>
      <c r="AC8" s="52">
        <f t="shared" si="8"/>
        <v>1674038.6500000004</v>
      </c>
      <c r="AD8" s="52">
        <f t="shared" ref="AD8" si="9">AD7-AD37-AD53</f>
        <v>34538839.770000003</v>
      </c>
      <c r="AE8" s="52">
        <v>33478228.140000008</v>
      </c>
      <c r="AF8" s="52">
        <f>AF7-AF37-AF53</f>
        <v>68017067.909999996</v>
      </c>
      <c r="AG8" s="51">
        <f t="shared" ref="AG8:AG63" si="10">AD8-AC8</f>
        <v>32864801.120000005</v>
      </c>
      <c r="AH8" s="64">
        <f t="shared" si="4"/>
        <v>-304591742.09000003</v>
      </c>
      <c r="AI8" s="64">
        <f t="shared" si="5"/>
        <v>18.254283335383292</v>
      </c>
      <c r="AJ8" s="51">
        <f t="shared" ref="AJ8:AJ62" si="11">AF8-AA8</f>
        <v>-477133539.60000002</v>
      </c>
      <c r="AK8" s="51">
        <f>AF8/AA8%</f>
        <v>12.476748071633089</v>
      </c>
      <c r="AL8" s="51"/>
      <c r="AM8" s="51"/>
      <c r="AN8" s="64">
        <f t="shared" ref="AN8:AN63" si="12">AF8-AB8</f>
        <v>24345580.420000002</v>
      </c>
      <c r="AO8" s="64">
        <f t="shared" ref="AO8:AO63" si="13">AF8/AB8*100</f>
        <v>155.7470830952912</v>
      </c>
      <c r="AP8" s="51">
        <f t="shared" ref="AP8:AP63" si="14">AF8-Y8</f>
        <v>47858473.155904524</v>
      </c>
      <c r="AQ8" s="51">
        <f>AF8/Y8%</f>
        <v>337.409768586084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69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11151615.819999998</v>
      </c>
      <c r="W9" s="44">
        <f t="shared" si="7"/>
        <v>3.4486679762273753</v>
      </c>
      <c r="X9" s="70">
        <f t="shared" si="16"/>
        <v>0</v>
      </c>
      <c r="Y9" s="70">
        <f>Y10+Y11+Y12+Y13+Y14+Y15+Y16+Y17+Y20+Y21</f>
        <v>17134569.264095474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42742481</v>
      </c>
      <c r="AC9" s="70">
        <f t="shared" ref="AC9" si="17">AC10+AC11+AC12+AC13+AC14+AC15+AC16+AC17+AC20+AC21</f>
        <v>605347.38</v>
      </c>
      <c r="AD9" s="70">
        <f t="shared" ref="AD9" si="18">AD10+AD11+AD12+AD13+AD14+AD15+AD16+AD17+AD20+AD21</f>
        <v>30664151.979999997</v>
      </c>
      <c r="AE9" s="70">
        <v>30168850.360000003</v>
      </c>
      <c r="AF9" s="70">
        <f>AF10+AF11+AF12+AF13+AF14+AF15+AF16+AF17+AF20+AF21</f>
        <v>60833002.339999996</v>
      </c>
      <c r="AG9" s="71">
        <f t="shared" si="10"/>
        <v>30058804.599999998</v>
      </c>
      <c r="AH9" s="72"/>
      <c r="AI9" s="72"/>
      <c r="AJ9" s="71">
        <f t="shared" si="11"/>
        <v>-433057335.17000002</v>
      </c>
      <c r="AK9" s="71">
        <f>AF9/AA9%</f>
        <v>12.317107203735949</v>
      </c>
      <c r="AL9" s="73"/>
      <c r="AM9" s="73"/>
      <c r="AN9" s="72">
        <f t="shared" si="12"/>
        <v>18090521.339999996</v>
      </c>
      <c r="AO9" s="72">
        <f t="shared" si="13"/>
        <v>142.32445313597964</v>
      </c>
      <c r="AP9" s="71">
        <f t="shared" si="14"/>
        <v>43698433.075904518</v>
      </c>
      <c r="AQ9" s="71">
        <f>AF9/Y9%</f>
        <v>355.03082337454566</v>
      </c>
      <c r="AR9" s="23"/>
      <c r="AS9" s="23"/>
      <c r="AT9" s="49"/>
    </row>
    <row r="10" spans="1:47" s="10" customFormat="1" ht="91.5" hidden="1" customHeight="1" x14ac:dyDescent="0.3">
      <c r="A10" s="9"/>
      <c r="B10" s="136" t="s">
        <v>26</v>
      </c>
      <c r="C10" s="136"/>
      <c r="D10" s="136"/>
      <c r="E10" s="136"/>
      <c r="F10" s="136"/>
      <c r="G10" s="136"/>
      <c r="H10" s="136"/>
      <c r="I10" s="136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8968796.5</v>
      </c>
      <c r="W10" s="12"/>
      <c r="X10" s="46"/>
      <c r="Y10" s="47">
        <f>V10/31.84%*53.08%</f>
        <v>14951749.944095476</v>
      </c>
      <c r="Z10" s="46">
        <v>188231000</v>
      </c>
      <c r="AA10" s="46">
        <v>340259137.50999999</v>
      </c>
      <c r="AB10" s="46">
        <v>32309053</v>
      </c>
      <c r="AC10" s="46">
        <f>687519.88+176160.98-1.06-23755.98+451.18</f>
        <v>840375</v>
      </c>
      <c r="AD10" s="46">
        <f>22452160.97+784316.63-1.06+30608.25+3360.49+263495.44</f>
        <v>23533940.719999999</v>
      </c>
      <c r="AE10" s="46">
        <v>20703059.370000001</v>
      </c>
      <c r="AF10" s="46">
        <f>AE10+AD10</f>
        <v>44237000.090000004</v>
      </c>
      <c r="AG10" s="46">
        <f t="shared" si="10"/>
        <v>22693565.719999999</v>
      </c>
      <c r="AH10" s="44">
        <f t="shared" si="4"/>
        <v>-143993999.91</v>
      </c>
      <c r="AI10" s="44">
        <f t="shared" si="5"/>
        <v>23.501442424467811</v>
      </c>
      <c r="AJ10" s="46">
        <f t="shared" si="11"/>
        <v>-296022137.41999996</v>
      </c>
      <c r="AK10" s="44">
        <f t="shared" ref="AK10:AK63" si="19">AF10/AA10%</f>
        <v>13.000973438575153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11927947.090000004</v>
      </c>
      <c r="AO10" s="44">
        <f t="shared" si="13"/>
        <v>136.91828135600261</v>
      </c>
      <c r="AP10" s="46">
        <f t="shared" si="14"/>
        <v>29285250.145904526</v>
      </c>
      <c r="AQ10" s="44">
        <f t="shared" ref="AQ10:AQ18" si="20">AF10/Y10%</f>
        <v>295.865034229451</v>
      </c>
      <c r="AR10" s="46">
        <f t="shared" ref="AR10:AR20" si="21">AF10-M10</f>
        <v>-14598450.005543217</v>
      </c>
      <c r="AS10" s="46">
        <f t="shared" ref="AS10:AS20" si="22">IF(M10=0,0,AF10/M10*100)</f>
        <v>75.187663250919783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24" t="s">
        <v>25</v>
      </c>
      <c r="C11" s="124"/>
      <c r="D11" s="124"/>
      <c r="E11" s="124"/>
      <c r="F11" s="124"/>
      <c r="G11" s="124"/>
      <c r="H11" s="124"/>
      <c r="I11" s="124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3636493.28</v>
      </c>
      <c r="W11" s="12"/>
      <c r="X11" s="12"/>
      <c r="Y11" s="12">
        <f t="shared" ref="Y11:Y16" si="23">V11</f>
        <v>3636493.28</v>
      </c>
      <c r="Z11" s="12">
        <v>28603900</v>
      </c>
      <c r="AA11" s="12">
        <v>32294200</v>
      </c>
      <c r="AB11" s="12">
        <v>5256360</v>
      </c>
      <c r="AC11" s="12">
        <v>0</v>
      </c>
      <c r="AD11" s="12">
        <f>88066.45+1237977.07+5605.75+1398201.52+29659.6</f>
        <v>2759510.39</v>
      </c>
      <c r="AE11" s="12">
        <v>2852201.01</v>
      </c>
      <c r="AF11" s="12">
        <f t="shared" ref="AF11:AF62" si="24">AE11+AD11</f>
        <v>5611711.4000000004</v>
      </c>
      <c r="AG11" s="12">
        <f t="shared" si="10"/>
        <v>2759510.39</v>
      </c>
      <c r="AH11" s="44">
        <f t="shared" si="4"/>
        <v>-22992188.600000001</v>
      </c>
      <c r="AI11" s="44">
        <f t="shared" si="5"/>
        <v>19.618693255115563</v>
      </c>
      <c r="AJ11" s="12">
        <f t="shared" si="11"/>
        <v>-26682488.600000001</v>
      </c>
      <c r="AK11" s="44">
        <f t="shared" si="19"/>
        <v>17.376839804051503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355351.40000000037</v>
      </c>
      <c r="AO11" s="44">
        <f>AF11/AB11*100</f>
        <v>106.76040834341636</v>
      </c>
      <c r="AP11" s="12">
        <f t="shared" si="14"/>
        <v>1975218.1200000006</v>
      </c>
      <c r="AQ11" s="44">
        <f t="shared" si="20"/>
        <v>154.31656180593853</v>
      </c>
      <c r="AR11" s="12">
        <f t="shared" si="21"/>
        <v>-2282213.71</v>
      </c>
      <c r="AS11" s="12">
        <f t="shared" si="22"/>
        <v>71.088987060329487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5">J12</f>
        <v>0</v>
      </c>
      <c r="L12" s="12">
        <v>0</v>
      </c>
      <c r="M12" s="36">
        <f t="shared" ref="M12" si="26">L12</f>
        <v>0</v>
      </c>
      <c r="N12" s="12">
        <v>8810490.5399999991</v>
      </c>
      <c r="O12" s="12">
        <v>9529840.7599999998</v>
      </c>
      <c r="P12" s="12">
        <f t="shared" ref="P12:P15" si="27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-12265.58</v>
      </c>
      <c r="W12" s="12"/>
      <c r="X12" s="12"/>
      <c r="Y12" s="12">
        <f t="shared" si="23"/>
        <v>-12265.58</v>
      </c>
      <c r="Z12" s="12">
        <v>11972000</v>
      </c>
      <c r="AA12" s="12">
        <v>27969000</v>
      </c>
      <c r="AB12" s="12">
        <v>225346</v>
      </c>
      <c r="AC12" s="12">
        <v>-8474.35</v>
      </c>
      <c r="AD12" s="12">
        <f>37839.87+12293.4+107749.63</f>
        <v>157882.90000000002</v>
      </c>
      <c r="AE12" s="12">
        <v>72148.010000000038</v>
      </c>
      <c r="AF12" s="12">
        <f t="shared" si="24"/>
        <v>230030.91000000006</v>
      </c>
      <c r="AG12" s="12">
        <f t="shared" si="10"/>
        <v>166357.25000000003</v>
      </c>
      <c r="AH12" s="44">
        <f t="shared" si="4"/>
        <v>-11741969.09</v>
      </c>
      <c r="AI12" s="44">
        <f t="shared" si="5"/>
        <v>1.9214075342465757</v>
      </c>
      <c r="AJ12" s="12">
        <f t="shared" si="11"/>
        <v>-27738969.09</v>
      </c>
      <c r="AK12" s="44">
        <f t="shared" si="19"/>
        <v>0.82244953341199212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4684.9100000000617</v>
      </c>
      <c r="AO12" s="44">
        <f t="shared" si="13"/>
        <v>102.07898520497372</v>
      </c>
      <c r="AP12" s="12">
        <f t="shared" si="14"/>
        <v>242296.49000000005</v>
      </c>
      <c r="AQ12" s="116">
        <v>1875.42</v>
      </c>
      <c r="AR12" s="12">
        <f t="shared" si="21"/>
        <v>230030.91000000006</v>
      </c>
      <c r="AS12" s="12">
        <f t="shared" si="22"/>
        <v>0</v>
      </c>
      <c r="AT12" s="34">
        <f>AF12</f>
        <v>230030.91000000006</v>
      </c>
    </row>
    <row r="13" spans="1:47" s="10" customFormat="1" ht="70.5" hidden="1" customHeight="1" x14ac:dyDescent="0.3">
      <c r="A13" s="9"/>
      <c r="B13" s="124" t="s">
        <v>24</v>
      </c>
      <c r="C13" s="124"/>
      <c r="D13" s="124"/>
      <c r="E13" s="124"/>
      <c r="F13" s="124"/>
      <c r="G13" s="124"/>
      <c r="H13" s="124"/>
      <c r="I13" s="124"/>
      <c r="J13" s="12">
        <v>11880184.26</v>
      </c>
      <c r="K13" s="12">
        <f t="shared" si="25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7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8">T13</f>
        <v>-283271.29000000004</v>
      </c>
      <c r="V13" s="12">
        <v>-425992.69</v>
      </c>
      <c r="W13" s="12"/>
      <c r="X13" s="12"/>
      <c r="Y13" s="12">
        <f t="shared" si="23"/>
        <v>-425992.69</v>
      </c>
      <c r="Z13" s="12">
        <v>8000</v>
      </c>
      <c r="AA13" s="12">
        <v>0</v>
      </c>
      <c r="AB13" s="12">
        <v>0</v>
      </c>
      <c r="AC13" s="12">
        <v>860</v>
      </c>
      <c r="AD13" s="12">
        <v>3.06</v>
      </c>
      <c r="AE13" s="12">
        <v>2273.17</v>
      </c>
      <c r="AF13" s="12">
        <f t="shared" si="24"/>
        <v>2276.23</v>
      </c>
      <c r="AG13" s="12">
        <f t="shared" si="10"/>
        <v>-856.94</v>
      </c>
      <c r="AH13" s="44">
        <f t="shared" si="4"/>
        <v>-5723.77</v>
      </c>
      <c r="AI13" s="44">
        <f t="shared" si="5"/>
        <v>28.452874999999999</v>
      </c>
      <c r="AJ13" s="12">
        <f t="shared" si="11"/>
        <v>2276.23</v>
      </c>
      <c r="AK13" s="44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2276.23</v>
      </c>
      <c r="AO13" s="44">
        <v>0</v>
      </c>
      <c r="AP13" s="117">
        <v>-428268.92</v>
      </c>
      <c r="AQ13" s="116">
        <v>0.53</v>
      </c>
      <c r="AR13" s="12">
        <f t="shared" si="21"/>
        <v>-5412402.6299999999</v>
      </c>
      <c r="AS13" s="12">
        <f t="shared" si="22"/>
        <v>4.2038134834094298E-2</v>
      </c>
      <c r="AT13" s="34">
        <f>AF13</f>
        <v>2276.23</v>
      </c>
      <c r="AU13" s="86" t="s">
        <v>75</v>
      </c>
    </row>
    <row r="14" spans="1:47" s="10" customFormat="1" ht="42.75" hidden="1" customHeight="1" x14ac:dyDescent="0.3">
      <c r="A14" s="9"/>
      <c r="B14" s="124" t="s">
        <v>23</v>
      </c>
      <c r="C14" s="124"/>
      <c r="D14" s="124"/>
      <c r="E14" s="124"/>
      <c r="F14" s="124"/>
      <c r="G14" s="124"/>
      <c r="H14" s="124"/>
      <c r="I14" s="124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307580.58</v>
      </c>
      <c r="W14" s="12"/>
      <c r="X14" s="12"/>
      <c r="Y14" s="12">
        <f t="shared" si="23"/>
        <v>307580.58</v>
      </c>
      <c r="Z14" s="12">
        <v>5814000</v>
      </c>
      <c r="AA14" s="12">
        <v>7692000</v>
      </c>
      <c r="AB14" s="12">
        <v>14133</v>
      </c>
      <c r="AC14" s="12">
        <v>-681121</v>
      </c>
      <c r="AD14" s="12">
        <v>0</v>
      </c>
      <c r="AE14" s="12">
        <v>-663092</v>
      </c>
      <c r="AF14" s="12">
        <f t="shared" si="24"/>
        <v>-663092</v>
      </c>
      <c r="AG14" s="12">
        <f t="shared" si="10"/>
        <v>681121</v>
      </c>
      <c r="AH14" s="44">
        <f t="shared" si="4"/>
        <v>-6477092</v>
      </c>
      <c r="AI14" s="44">
        <f t="shared" si="5"/>
        <v>-11.405091159270727</v>
      </c>
      <c r="AJ14" s="12">
        <f t="shared" si="11"/>
        <v>-8355092</v>
      </c>
      <c r="AK14" s="44">
        <f t="shared" si="19"/>
        <v>-8.6205408216328649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-677225</v>
      </c>
      <c r="AO14" s="44">
        <f t="shared" si="13"/>
        <v>-4691.7993348899736</v>
      </c>
      <c r="AP14" s="12">
        <f t="shared" si="14"/>
        <v>-970672.58000000007</v>
      </c>
      <c r="AQ14" s="44">
        <f t="shared" si="20"/>
        <v>-215.58318148694562</v>
      </c>
      <c r="AR14" s="12">
        <f t="shared" si="21"/>
        <v>-4230169.8599999994</v>
      </c>
      <c r="AS14" s="12">
        <f t="shared" si="22"/>
        <v>-18.58922137460717</v>
      </c>
      <c r="AT14" s="34">
        <f>AF14</f>
        <v>-663092</v>
      </c>
      <c r="AU14" s="86"/>
    </row>
    <row r="15" spans="1:47" s="10" customFormat="1" ht="99" hidden="1" customHeight="1" x14ac:dyDescent="0.3">
      <c r="A15" s="9"/>
      <c r="B15" s="124" t="s">
        <v>22</v>
      </c>
      <c r="C15" s="124"/>
      <c r="D15" s="124"/>
      <c r="E15" s="124"/>
      <c r="F15" s="124"/>
      <c r="G15" s="124"/>
      <c r="H15" s="124"/>
      <c r="I15" s="124"/>
      <c r="J15" s="12">
        <v>199821.72</v>
      </c>
      <c r="K15" s="12">
        <f t="shared" ref="K15" si="29">J15</f>
        <v>199821.72</v>
      </c>
      <c r="L15" s="12">
        <v>141824.35999999999</v>
      </c>
      <c r="M15" s="12">
        <f t="shared" ref="M15" si="30">L15</f>
        <v>141824.35999999999</v>
      </c>
      <c r="N15" s="12">
        <v>4514274.29</v>
      </c>
      <c r="O15" s="12">
        <v>6011745.4100000001</v>
      </c>
      <c r="P15" s="12">
        <f t="shared" si="27"/>
        <v>6011745.4100000001</v>
      </c>
      <c r="Q15" s="12">
        <v>6011745.4100000001</v>
      </c>
      <c r="R15" s="12">
        <f t="shared" ref="R15" si="31">Q15</f>
        <v>6011745.4100000001</v>
      </c>
      <c r="S15" s="12">
        <v>2368000</v>
      </c>
      <c r="T15" s="12">
        <v>2659940.33</v>
      </c>
      <c r="U15" s="12">
        <f t="shared" si="28"/>
        <v>2659940.33</v>
      </c>
      <c r="V15" s="12">
        <v>-373907.18</v>
      </c>
      <c r="W15" s="12"/>
      <c r="X15" s="12"/>
      <c r="Y15" s="12">
        <f t="shared" si="23"/>
        <v>-373907.18</v>
      </c>
      <c r="Z15" s="12">
        <v>8168000</v>
      </c>
      <c r="AA15" s="12">
        <v>6694000</v>
      </c>
      <c r="AB15" s="12">
        <v>2015776</v>
      </c>
      <c r="AC15" s="12">
        <f>756.3+8405.77</f>
        <v>9162.07</v>
      </c>
      <c r="AD15" s="12">
        <f>67218.78</f>
        <v>67218.78</v>
      </c>
      <c r="AE15" s="12">
        <v>3784097.8299999996</v>
      </c>
      <c r="AF15" s="12">
        <f t="shared" si="24"/>
        <v>3851316.6099999994</v>
      </c>
      <c r="AG15" s="12">
        <f t="shared" si="10"/>
        <v>58056.71</v>
      </c>
      <c r="AH15" s="44">
        <f t="shared" si="4"/>
        <v>-4316683.3900000006</v>
      </c>
      <c r="AI15" s="44">
        <f t="shared" si="5"/>
        <v>47.151280729676785</v>
      </c>
      <c r="AJ15" s="12">
        <f t="shared" si="11"/>
        <v>-2842683.3900000006</v>
      </c>
      <c r="AK15" s="44">
        <f t="shared" si="19"/>
        <v>57.533860322677015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1835540.6099999994</v>
      </c>
      <c r="AO15" s="44">
        <f t="shared" si="13"/>
        <v>191.05875900893747</v>
      </c>
      <c r="AP15" s="12">
        <f t="shared" si="14"/>
        <v>4225223.7899999991</v>
      </c>
      <c r="AQ15" s="116">
        <v>1030.02</v>
      </c>
      <c r="AR15" s="12">
        <f t="shared" si="21"/>
        <v>3709492.2499999995</v>
      </c>
      <c r="AS15" s="12">
        <f t="shared" si="22"/>
        <v>2715.5536679312354</v>
      </c>
      <c r="AT15" s="34">
        <f>AF15</f>
        <v>3851316.6099999994</v>
      </c>
      <c r="AU15" s="86"/>
    </row>
    <row r="16" spans="1:47" s="10" customFormat="1" ht="65.25" hidden="1" customHeight="1" x14ac:dyDescent="0.3">
      <c r="A16" s="9"/>
      <c r="B16" s="124" t="s">
        <v>21</v>
      </c>
      <c r="C16" s="124"/>
      <c r="D16" s="124"/>
      <c r="E16" s="124"/>
      <c r="F16" s="124"/>
      <c r="G16" s="124"/>
      <c r="H16" s="124"/>
      <c r="I16" s="124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-363479.07</v>
      </c>
      <c r="W16" s="12"/>
      <c r="X16" s="12"/>
      <c r="Y16" s="12">
        <f t="shared" si="23"/>
        <v>-363479.07</v>
      </c>
      <c r="Z16" s="12">
        <v>15443000</v>
      </c>
      <c r="AA16" s="12">
        <v>14460000</v>
      </c>
      <c r="AB16" s="12">
        <v>658400</v>
      </c>
      <c r="AC16" s="12">
        <f>44495.86+44528.79</f>
        <v>89024.65</v>
      </c>
      <c r="AD16" s="12">
        <f>36445.09+18517.06</f>
        <v>54962.149999999994</v>
      </c>
      <c r="AE16" s="12">
        <v>785637.65</v>
      </c>
      <c r="AF16" s="12">
        <f t="shared" si="24"/>
        <v>840599.8</v>
      </c>
      <c r="AG16" s="12">
        <f t="shared" si="10"/>
        <v>-34062.5</v>
      </c>
      <c r="AH16" s="44">
        <f t="shared" si="4"/>
        <v>-14602400.199999999</v>
      </c>
      <c r="AI16" s="44">
        <f t="shared" si="5"/>
        <v>5.4432415981350779</v>
      </c>
      <c r="AJ16" s="12">
        <f t="shared" si="11"/>
        <v>-13619400.199999999</v>
      </c>
      <c r="AK16" s="44">
        <f t="shared" si="19"/>
        <v>5.8132766251728913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182199.80000000005</v>
      </c>
      <c r="AO16" s="44">
        <f t="shared" si="13"/>
        <v>127.67311664641556</v>
      </c>
      <c r="AP16" s="12">
        <f t="shared" si="14"/>
        <v>1204078.8700000001</v>
      </c>
      <c r="AQ16" s="116">
        <v>231.26</v>
      </c>
      <c r="AR16" s="12">
        <f t="shared" si="21"/>
        <v>-320079.08999999985</v>
      </c>
      <c r="AS16" s="12">
        <f t="shared" si="22"/>
        <v>72.42311437231362</v>
      </c>
      <c r="AT16" s="34">
        <v>11117000</v>
      </c>
      <c r="AU16" s="86"/>
    </row>
    <row r="17" spans="1:47" s="10" customFormat="1" ht="24" hidden="1" customHeight="1" x14ac:dyDescent="0.3">
      <c r="A17" s="9"/>
      <c r="B17" s="124" t="s">
        <v>19</v>
      </c>
      <c r="C17" s="124"/>
      <c r="D17" s="124"/>
      <c r="E17" s="124"/>
      <c r="F17" s="124"/>
      <c r="G17" s="124"/>
      <c r="H17" s="124"/>
      <c r="I17" s="124"/>
      <c r="J17" s="12">
        <f t="shared" ref="J17:AF17" si="32">J18+J19</f>
        <v>59077329.089999996</v>
      </c>
      <c r="K17" s="12">
        <f t="shared" si="32"/>
        <v>59077329.089999996</v>
      </c>
      <c r="L17" s="12">
        <f t="shared" si="32"/>
        <v>13651268.75</v>
      </c>
      <c r="M17" s="12">
        <f t="shared" si="32"/>
        <v>13651268.75</v>
      </c>
      <c r="N17" s="12">
        <f t="shared" si="32"/>
        <v>57000020</v>
      </c>
      <c r="O17" s="12">
        <f t="shared" si="32"/>
        <v>59153838.839999996</v>
      </c>
      <c r="P17" s="12">
        <f t="shared" si="32"/>
        <v>59153838.839999996</v>
      </c>
      <c r="Q17" s="12">
        <v>59153838.839999996</v>
      </c>
      <c r="R17" s="12">
        <f t="shared" si="32"/>
        <v>59153838.839999996</v>
      </c>
      <c r="S17" s="12">
        <f t="shared" si="32"/>
        <v>54189000</v>
      </c>
      <c r="T17" s="12">
        <f t="shared" si="32"/>
        <v>55922478.88000001</v>
      </c>
      <c r="U17" s="12">
        <f t="shared" ref="U17:X17" si="33">U18+U19</f>
        <v>55922478.88000001</v>
      </c>
      <c r="V17" s="12">
        <f t="shared" si="33"/>
        <v>-1394424.89</v>
      </c>
      <c r="W17" s="12"/>
      <c r="X17" s="12">
        <f t="shared" si="33"/>
        <v>0</v>
      </c>
      <c r="Y17" s="12">
        <f>Y18+Y19</f>
        <v>-1394424.89</v>
      </c>
      <c r="Z17" s="12">
        <f t="shared" ref="Z17:AC17" si="34">Z18+Z19</f>
        <v>57489000</v>
      </c>
      <c r="AA17" s="12">
        <f t="shared" si="34"/>
        <v>56779000</v>
      </c>
      <c r="AB17" s="12">
        <f t="shared" si="34"/>
        <v>1530169</v>
      </c>
      <c r="AC17" s="12">
        <f t="shared" si="34"/>
        <v>188132.66999999998</v>
      </c>
      <c r="AD17" s="12">
        <f t="shared" ref="AD17" si="35">AD18+AD19</f>
        <v>3947204.73</v>
      </c>
      <c r="AE17" s="12">
        <v>1850491.94</v>
      </c>
      <c r="AF17" s="12">
        <f t="shared" si="32"/>
        <v>5797696.669999999</v>
      </c>
      <c r="AG17" s="12">
        <f t="shared" si="10"/>
        <v>3759072.06</v>
      </c>
      <c r="AH17" s="44">
        <f t="shared" si="4"/>
        <v>-51691303.329999998</v>
      </c>
      <c r="AI17" s="44">
        <f t="shared" si="5"/>
        <v>10.084880011828348</v>
      </c>
      <c r="AJ17" s="12">
        <f t="shared" si="11"/>
        <v>-50981303.329999998</v>
      </c>
      <c r="AK17" s="44">
        <f t="shared" si="19"/>
        <v>10.210987636273973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4267527.669999999</v>
      </c>
      <c r="AO17" s="44">
        <f t="shared" si="13"/>
        <v>378.89257134342671</v>
      </c>
      <c r="AP17" s="12">
        <f t="shared" si="14"/>
        <v>7192121.5599999987</v>
      </c>
      <c r="AQ17" s="116">
        <v>415.78</v>
      </c>
      <c r="AR17" s="12">
        <f t="shared" si="21"/>
        <v>-7853572.080000001</v>
      </c>
      <c r="AS17" s="12">
        <f t="shared" si="22"/>
        <v>42.470020744408821</v>
      </c>
      <c r="AT17" s="34">
        <f>AT18+AT19</f>
        <v>5797696.669999999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17301.31-1299</f>
        <v>16002.310000000001</v>
      </c>
      <c r="W18" s="53"/>
      <c r="X18" s="53"/>
      <c r="Y18" s="13">
        <f>V18</f>
        <v>16002.310000000001</v>
      </c>
      <c r="Z18" s="66">
        <v>23363753.050000001</v>
      </c>
      <c r="AA18" s="66">
        <v>22995495</v>
      </c>
      <c r="AB18" s="16">
        <v>525982</v>
      </c>
      <c r="AC18" s="13">
        <v>5825.55</v>
      </c>
      <c r="AD18" s="13">
        <f>3220559.86+567415.96</f>
        <v>3787975.82</v>
      </c>
      <c r="AE18" s="13">
        <v>642081.46</v>
      </c>
      <c r="AF18" s="13">
        <f t="shared" si="24"/>
        <v>4430057.2799999993</v>
      </c>
      <c r="AG18" s="13">
        <f t="shared" si="10"/>
        <v>3782150.27</v>
      </c>
      <c r="AH18" s="44">
        <f t="shared" si="4"/>
        <v>-18933695.770000003</v>
      </c>
      <c r="AI18" s="44">
        <f t="shared" si="5"/>
        <v>18.961239962258546</v>
      </c>
      <c r="AJ18" s="13">
        <f t="shared" si="11"/>
        <v>-18565437.719999999</v>
      </c>
      <c r="AK18" s="44">
        <f t="shared" si="19"/>
        <v>19.26489201471853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3904075.2799999993</v>
      </c>
      <c r="AO18" s="44">
        <f t="shared" si="13"/>
        <v>842.24503500119761</v>
      </c>
      <c r="AP18" s="13">
        <f t="shared" si="14"/>
        <v>4414054.97</v>
      </c>
      <c r="AQ18" s="44">
        <f t="shared" si="20"/>
        <v>27683.861142547539</v>
      </c>
      <c r="AR18" s="13">
        <f t="shared" si="21"/>
        <v>-5655559.2300000004</v>
      </c>
      <c r="AS18" s="13">
        <f t="shared" si="22"/>
        <v>43.924506504957321</v>
      </c>
      <c r="AT18" s="31">
        <f>AF18</f>
        <v>4430057.2799999993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-1410427.2</v>
      </c>
      <c r="W19" s="53"/>
      <c r="X19" s="53"/>
      <c r="Y19" s="13">
        <f>V19</f>
        <v>-1410427.2</v>
      </c>
      <c r="Z19" s="66">
        <v>34125246.950000003</v>
      </c>
      <c r="AA19" s="66">
        <v>33783505</v>
      </c>
      <c r="AB19" s="16">
        <v>1004187</v>
      </c>
      <c r="AC19" s="13">
        <f>155997.95+26309.17</f>
        <v>182307.12</v>
      </c>
      <c r="AD19" s="13">
        <f>123860.17+35368.74</f>
        <v>159228.91</v>
      </c>
      <c r="AE19" s="13">
        <v>1208410.48</v>
      </c>
      <c r="AF19" s="13">
        <f t="shared" si="24"/>
        <v>1367639.39</v>
      </c>
      <c r="AG19" s="13">
        <f t="shared" si="10"/>
        <v>-23078.209999999992</v>
      </c>
      <c r="AH19" s="44">
        <f t="shared" si="4"/>
        <v>-32757607.560000002</v>
      </c>
      <c r="AI19" s="44">
        <f t="shared" si="5"/>
        <v>4.0077054739086657</v>
      </c>
      <c r="AJ19" s="13">
        <f t="shared" si="11"/>
        <v>-32415865.609999999</v>
      </c>
      <c r="AK19" s="44">
        <f t="shared" si="19"/>
        <v>4.0482460005259959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363452.3899999999</v>
      </c>
      <c r="AO19" s="44">
        <f t="shared" si="13"/>
        <v>136.19369599486947</v>
      </c>
      <c r="AP19" s="13">
        <f t="shared" si="14"/>
        <v>2778066.59</v>
      </c>
      <c r="AQ19" s="116">
        <v>96.97</v>
      </c>
      <c r="AR19" s="13">
        <f t="shared" si="21"/>
        <v>-2198012.8500000006</v>
      </c>
      <c r="AS19" s="13">
        <f t="shared" si="22"/>
        <v>38.355938772088436</v>
      </c>
      <c r="AT19" s="31">
        <f>AF19</f>
        <v>1367639.39</v>
      </c>
      <c r="AU19" s="86"/>
    </row>
    <row r="20" spans="1:47" s="10" customFormat="1" ht="30.75" hidden="1" customHeight="1" x14ac:dyDescent="0.3">
      <c r="A20" s="9"/>
      <c r="B20" s="124" t="s">
        <v>18</v>
      </c>
      <c r="C20" s="124"/>
      <c r="D20" s="124"/>
      <c r="E20" s="124"/>
      <c r="F20" s="124"/>
      <c r="G20" s="124"/>
      <c r="H20" s="124"/>
      <c r="I20" s="124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808814.87</v>
      </c>
      <c r="W20" s="12"/>
      <c r="X20" s="12"/>
      <c r="Y20" s="12">
        <f>V20</f>
        <v>808814.87</v>
      </c>
      <c r="Z20" s="12">
        <v>7706000</v>
      </c>
      <c r="AA20" s="12">
        <v>7743000</v>
      </c>
      <c r="AB20" s="12">
        <v>733244</v>
      </c>
      <c r="AC20" s="12">
        <f>156573.93+10814.41</f>
        <v>167388.34</v>
      </c>
      <c r="AD20" s="12">
        <f>93008.05+50421.2</f>
        <v>143429.25</v>
      </c>
      <c r="AE20" s="12">
        <v>782033.38</v>
      </c>
      <c r="AF20" s="12">
        <f t="shared" si="24"/>
        <v>925462.63</v>
      </c>
      <c r="AG20" s="12">
        <f t="shared" si="10"/>
        <v>-23959.089999999997</v>
      </c>
      <c r="AH20" s="44">
        <f t="shared" si="4"/>
        <v>-6780537.3700000001</v>
      </c>
      <c r="AI20" s="44">
        <f t="shared" si="5"/>
        <v>12.009637036075786</v>
      </c>
      <c r="AJ20" s="12">
        <f t="shared" si="11"/>
        <v>-6817537.3700000001</v>
      </c>
      <c r="AK20" s="44">
        <f t="shared" si="19"/>
        <v>11.952248869947049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192218.63</v>
      </c>
      <c r="AO20" s="44">
        <f t="shared" si="13"/>
        <v>126.21482480593092</v>
      </c>
      <c r="AP20" s="12">
        <f t="shared" si="14"/>
        <v>116647.76000000001</v>
      </c>
      <c r="AQ20" s="44">
        <f t="shared" ref="AQ20:AQ63" si="36">AF20/Y20%</f>
        <v>114.42205927791611</v>
      </c>
      <c r="AR20" s="12">
        <f t="shared" si="21"/>
        <v>-2148556.83</v>
      </c>
      <c r="AS20" s="12">
        <f t="shared" si="22"/>
        <v>30.105945718378763</v>
      </c>
      <c r="AT20" s="34">
        <f>AF20</f>
        <v>925462.63</v>
      </c>
      <c r="AU20" s="86"/>
    </row>
    <row r="21" spans="1:47" s="10" customFormat="1" ht="62.25" hidden="1" customHeight="1" x14ac:dyDescent="0.3">
      <c r="A21" s="9"/>
      <c r="B21" s="138" t="s">
        <v>58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9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4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70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7">S23+S36+S37+S45+S48+S50</f>
        <v>86476358.480000004</v>
      </c>
      <c r="T22" s="71">
        <f t="shared" si="37"/>
        <v>93832615.929999977</v>
      </c>
      <c r="U22" s="71">
        <f>U23+U36+U37+U45+U48+U50</f>
        <v>91729067.069999978</v>
      </c>
      <c r="V22" s="71">
        <f>V23+V36+V37+V45+V48+V50</f>
        <v>10334515.200000001</v>
      </c>
      <c r="W22" s="71"/>
      <c r="X22" s="71">
        <f t="shared" ref="X22:AC22" si="38">X23+X36+X37+X45+X48+X50</f>
        <v>0</v>
      </c>
      <c r="Y22" s="71">
        <f t="shared" si="38"/>
        <v>10334515.200000001</v>
      </c>
      <c r="Z22" s="71">
        <f t="shared" si="38"/>
        <v>76980199.650000006</v>
      </c>
      <c r="AA22" s="71">
        <f t="shared" si="38"/>
        <v>83684298.329999998</v>
      </c>
      <c r="AB22" s="71">
        <f t="shared" si="38"/>
        <v>5623683.79</v>
      </c>
      <c r="AC22" s="71">
        <f t="shared" si="38"/>
        <v>3031148.0100000007</v>
      </c>
      <c r="AD22" s="71">
        <f t="shared" ref="AD22" si="39">AD23+AD36+AD37+AD45+AD48+AD50</f>
        <v>4763722.07</v>
      </c>
      <c r="AE22" s="71">
        <v>9826246.7999999989</v>
      </c>
      <c r="AF22" s="71">
        <f>AF23+AF36+AF37+AF45+AF48+AF50</f>
        <v>14589968.869999999</v>
      </c>
      <c r="AG22" s="71">
        <f t="shared" ref="AG22" si="40">AD22-AC22</f>
        <v>1732574.0599999996</v>
      </c>
      <c r="AH22" s="72">
        <f t="shared" si="4"/>
        <v>-62390230.780000009</v>
      </c>
      <c r="AI22" s="72">
        <f t="shared" ref="AI22" si="41">AF22/Z22*100</f>
        <v>18.95288520468263</v>
      </c>
      <c r="AJ22" s="71">
        <f t="shared" si="11"/>
        <v>-69094329.459999993</v>
      </c>
      <c r="AK22" s="72">
        <f t="shared" ref="AK22" si="42">AF22/AA22%</f>
        <v>17.434535702822089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8966285.0799999982</v>
      </c>
      <c r="AO22" s="72">
        <f t="shared" ref="AO22" si="43">AF22/AB22*100</f>
        <v>259.4379309865144</v>
      </c>
      <c r="AP22" s="71">
        <f t="shared" si="14"/>
        <v>4255453.6699999981</v>
      </c>
      <c r="AQ22" s="72">
        <f t="shared" ref="AQ22" si="44">AF22/Y22%</f>
        <v>141.17710011205941</v>
      </c>
      <c r="AR22" s="12"/>
      <c r="AS22" s="12"/>
      <c r="AT22" s="34"/>
    </row>
    <row r="23" spans="1:47" s="10" customFormat="1" ht="83.25" hidden="1" customHeight="1" x14ac:dyDescent="0.3">
      <c r="A23" s="9"/>
      <c r="B23" s="124" t="s">
        <v>17</v>
      </c>
      <c r="C23" s="124"/>
      <c r="D23" s="124"/>
      <c r="E23" s="124"/>
      <c r="F23" s="124"/>
      <c r="G23" s="124"/>
      <c r="H23" s="124"/>
      <c r="I23" s="124"/>
      <c r="J23" s="60">
        <f t="shared" ref="J23:AF23" si="45">J24+J27+J29+J31</f>
        <v>39449619.330000006</v>
      </c>
      <c r="K23" s="60">
        <f t="shared" si="45"/>
        <v>39449619.330000006</v>
      </c>
      <c r="L23" s="60">
        <f t="shared" si="45"/>
        <v>10238465.989999998</v>
      </c>
      <c r="M23" s="60">
        <f t="shared" si="45"/>
        <v>10238465.989999998</v>
      </c>
      <c r="N23" s="12">
        <f t="shared" si="45"/>
        <v>42188190.339999996</v>
      </c>
      <c r="O23" s="12">
        <f t="shared" si="45"/>
        <v>49536681.379999995</v>
      </c>
      <c r="P23" s="12">
        <f t="shared" si="45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6">S24+S27+S29+S31</f>
        <v>42777461.119999997</v>
      </c>
      <c r="T23" s="12">
        <f t="shared" si="46"/>
        <v>47630236.639999993</v>
      </c>
      <c r="U23" s="12">
        <f>U24+U27+U29+U31</f>
        <v>46969616.779999994</v>
      </c>
      <c r="V23" s="12">
        <f t="shared" ref="V23:X23" si="47">V24+V27+V29+V31</f>
        <v>2360883.4599999995</v>
      </c>
      <c r="W23" s="12"/>
      <c r="X23" s="12">
        <f t="shared" si="47"/>
        <v>0</v>
      </c>
      <c r="Y23" s="12">
        <f>Y24+Y27+Y29+Y31</f>
        <v>2360883.4599999995</v>
      </c>
      <c r="Z23" s="12">
        <f t="shared" ref="Z23:AB23" si="48">Z24+Z27+Z29+Z31</f>
        <v>47029000</v>
      </c>
      <c r="AA23" s="12">
        <f t="shared" si="48"/>
        <v>49534190</v>
      </c>
      <c r="AB23" s="12">
        <f t="shared" si="48"/>
        <v>675712.49</v>
      </c>
      <c r="AC23" s="12">
        <f>AC24+AC27+AC29+AC31</f>
        <v>883429.32000000007</v>
      </c>
      <c r="AD23" s="12">
        <f>AD24+AD27+AD29+AD31</f>
        <v>3403376.73</v>
      </c>
      <c r="AE23" s="12">
        <v>2333177.3200000003</v>
      </c>
      <c r="AF23" s="12">
        <f t="shared" si="45"/>
        <v>5736554.0500000007</v>
      </c>
      <c r="AG23" s="12">
        <f t="shared" si="10"/>
        <v>2519947.41</v>
      </c>
      <c r="AH23" s="44">
        <f t="shared" si="4"/>
        <v>-41292445.950000003</v>
      </c>
      <c r="AI23" s="44">
        <f t="shared" si="5"/>
        <v>12.197907780305771</v>
      </c>
      <c r="AJ23" s="12">
        <f t="shared" si="11"/>
        <v>-43797635.950000003</v>
      </c>
      <c r="AK23" s="44">
        <f t="shared" si="19"/>
        <v>11.58099900291092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5060841.5600000005</v>
      </c>
      <c r="AO23" s="44">
        <f t="shared" si="13"/>
        <v>848.96374344064589</v>
      </c>
      <c r="AP23" s="12">
        <f t="shared" si="14"/>
        <v>3375670.5900000012</v>
      </c>
      <c r="AQ23" s="44">
        <f t="shared" si="36"/>
        <v>242.98336394800285</v>
      </c>
      <c r="AR23" s="12">
        <f>AF23-M23</f>
        <v>-4501911.9399999976</v>
      </c>
      <c r="AS23" s="12">
        <f>IF(M23=0,0,AF23/M23*100)</f>
        <v>56.029429170375181</v>
      </c>
      <c r="AT23" s="34">
        <f>AT24+AT27+AT29+AT31</f>
        <v>5539348.0200000005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71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9">U25+U26</f>
        <v>44043460.589999996</v>
      </c>
      <c r="V24" s="12">
        <f>V25+V26</f>
        <v>2016283.38</v>
      </c>
      <c r="W24" s="13"/>
      <c r="X24" s="13">
        <f t="shared" si="49"/>
        <v>0</v>
      </c>
      <c r="Y24" s="12">
        <f t="shared" si="49"/>
        <v>2016283.38</v>
      </c>
      <c r="Z24" s="12">
        <f t="shared" si="49"/>
        <v>46880510</v>
      </c>
      <c r="AA24" s="12">
        <f>AA25+AA26</f>
        <v>48200367.740000002</v>
      </c>
      <c r="AB24" s="12">
        <f>AB25+AB26</f>
        <v>432000</v>
      </c>
      <c r="AC24" s="12">
        <f>AC25+AC26</f>
        <v>813620.06</v>
      </c>
      <c r="AD24" s="12">
        <f>AD25+AD26</f>
        <v>3367238.69</v>
      </c>
      <c r="AE24" s="12">
        <v>1889594.9700000002</v>
      </c>
      <c r="AF24" s="12">
        <f t="shared" ref="AF24" si="50">AF25+AF26</f>
        <v>5256833.66</v>
      </c>
      <c r="AG24" s="12">
        <f>AD24-AC24</f>
        <v>2553618.63</v>
      </c>
      <c r="AH24" s="44">
        <f t="shared" si="4"/>
        <v>-41623676.340000004</v>
      </c>
      <c r="AI24" s="44">
        <f t="shared" si="5"/>
        <v>11.213260393284971</v>
      </c>
      <c r="AJ24" s="12">
        <f t="shared" si="11"/>
        <v>-42943534.079999998</v>
      </c>
      <c r="AK24" s="44">
        <f t="shared" si="19"/>
        <v>10.906210691910376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4824833.66</v>
      </c>
      <c r="AO24" s="44">
        <f t="shared" si="13"/>
        <v>1216.8596435185184</v>
      </c>
      <c r="AP24" s="12">
        <f t="shared" si="14"/>
        <v>3240550.2800000003</v>
      </c>
      <c r="AQ24" s="44">
        <f t="shared" si="36"/>
        <v>260.71898980787114</v>
      </c>
      <c r="AR24" s="12">
        <f>AF24-M24</f>
        <v>-4611310.9499999993</v>
      </c>
      <c r="AS24" s="12">
        <f>IF(M24=0,0,AF24/M24*100)</f>
        <v>53.270740020093811</v>
      </c>
      <c r="AT24" s="31">
        <f>AF24</f>
        <v>5256833.66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72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572592.36</v>
      </c>
      <c r="W25" s="13"/>
      <c r="X25" s="13"/>
      <c r="Y25" s="13">
        <f>V25</f>
        <v>572592.36</v>
      </c>
      <c r="Z25" s="13">
        <v>34696660</v>
      </c>
      <c r="AA25" s="13">
        <v>36508280</v>
      </c>
      <c r="AB25" s="13">
        <v>197000</v>
      </c>
      <c r="AC25" s="13">
        <f>650519.67+131933.52</f>
        <v>782453.19000000006</v>
      </c>
      <c r="AD25" s="13">
        <f>3303120.88+21000+4540.89</f>
        <v>3328661.77</v>
      </c>
      <c r="AE25" s="13">
        <v>1189895.4700000002</v>
      </c>
      <c r="AF25" s="13">
        <f t="shared" si="24"/>
        <v>4518557.24</v>
      </c>
      <c r="AG25" s="13">
        <f>AD25-AC25</f>
        <v>2546208.58</v>
      </c>
      <c r="AH25" s="44">
        <f t="shared" si="4"/>
        <v>-30178102.759999998</v>
      </c>
      <c r="AI25" s="44">
        <f t="shared" si="5"/>
        <v>13.023032303397503</v>
      </c>
      <c r="AJ25" s="13">
        <f t="shared" si="11"/>
        <v>-31989722.759999998</v>
      </c>
      <c r="AK25" s="42">
        <f t="shared" si="19"/>
        <v>12.376801207835593</v>
      </c>
      <c r="AL25" s="13"/>
      <c r="AM25" s="13"/>
      <c r="AN25" s="42">
        <f t="shared" si="12"/>
        <v>4321557.24</v>
      </c>
      <c r="AO25" s="42">
        <f t="shared" si="13"/>
        <v>2293.6838781725887</v>
      </c>
      <c r="AP25" s="13">
        <f t="shared" si="14"/>
        <v>3945964.8800000004</v>
      </c>
      <c r="AQ25" s="42">
        <f t="shared" si="36"/>
        <v>789.14033012944844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85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708114.27+735576.75</f>
        <v>1443691.02</v>
      </c>
      <c r="W26" s="16"/>
      <c r="X26" s="16"/>
      <c r="Y26" s="13">
        <f>V26</f>
        <v>1443691.02</v>
      </c>
      <c r="Z26" s="13">
        <v>12183850</v>
      </c>
      <c r="AA26" s="13">
        <f>6966987.74+4725100</f>
        <v>11692087.74</v>
      </c>
      <c r="AB26" s="13">
        <f>130000+105000</f>
        <v>235000</v>
      </c>
      <c r="AC26" s="13">
        <f>28565.87+2601</f>
        <v>31166.87</v>
      </c>
      <c r="AD26" s="13">
        <f>9546.9+29030.02</f>
        <v>38576.92</v>
      </c>
      <c r="AE26" s="13">
        <v>699699.5</v>
      </c>
      <c r="AF26" s="13">
        <f t="shared" si="24"/>
        <v>738276.42</v>
      </c>
      <c r="AG26" s="13">
        <f>AD26-AC26</f>
        <v>7410.0499999999993</v>
      </c>
      <c r="AH26" s="44">
        <f t="shared" si="4"/>
        <v>-11445573.58</v>
      </c>
      <c r="AI26" s="44">
        <f t="shared" si="5"/>
        <v>6.0594674097268113</v>
      </c>
      <c r="AJ26" s="12">
        <f t="shared" si="11"/>
        <v>-10953811.32</v>
      </c>
      <c r="AK26" s="42">
        <f t="shared" si="19"/>
        <v>6.3143250069384109</v>
      </c>
      <c r="AL26" s="13"/>
      <c r="AM26" s="13"/>
      <c r="AN26" s="42">
        <f t="shared" si="12"/>
        <v>503276.42000000004</v>
      </c>
      <c r="AO26" s="42">
        <f t="shared" si="13"/>
        <v>314.16017872340427</v>
      </c>
      <c r="AP26" s="13">
        <f t="shared" si="14"/>
        <v>-705414.6</v>
      </c>
      <c r="AQ26" s="42">
        <f t="shared" si="36"/>
        <v>51.138118182656562</v>
      </c>
      <c r="AR26" s="12"/>
      <c r="AS26" s="12"/>
      <c r="AT26" s="31"/>
      <c r="AU26" s="108" t="s">
        <v>100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73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1">S28</f>
        <v>989651.62</v>
      </c>
      <c r="T27" s="12">
        <f t="shared" si="51"/>
        <v>1733380.9700000002</v>
      </c>
      <c r="U27" s="13">
        <f t="shared" ref="U27:AB27" si="52">U28</f>
        <v>1733380.9700000002</v>
      </c>
      <c r="V27" s="12">
        <f t="shared" si="52"/>
        <v>190591.01</v>
      </c>
      <c r="W27" s="13"/>
      <c r="X27" s="13"/>
      <c r="Y27" s="12">
        <f t="shared" si="52"/>
        <v>190591.01</v>
      </c>
      <c r="Z27" s="12">
        <f t="shared" si="52"/>
        <v>100490</v>
      </c>
      <c r="AA27" s="12">
        <f t="shared" si="52"/>
        <v>549832.26</v>
      </c>
      <c r="AB27" s="12">
        <f t="shared" si="52"/>
        <v>170254.17</v>
      </c>
      <c r="AC27" s="12">
        <f>AC28</f>
        <v>53028.31</v>
      </c>
      <c r="AD27" s="12">
        <f>AD28</f>
        <v>23363.1</v>
      </c>
      <c r="AE27" s="12">
        <v>259151.26</v>
      </c>
      <c r="AF27" s="12">
        <f t="shared" ref="AF27" si="53">AF28</f>
        <v>282514.36</v>
      </c>
      <c r="AG27" s="12">
        <f t="shared" si="10"/>
        <v>-29665.21</v>
      </c>
      <c r="AH27" s="44">
        <f t="shared" si="4"/>
        <v>182024.36</v>
      </c>
      <c r="AI27" s="44">
        <f t="shared" si="5"/>
        <v>281.13678973032142</v>
      </c>
      <c r="AJ27" s="12">
        <f t="shared" si="11"/>
        <v>-267317.90000000002</v>
      </c>
      <c r="AK27" s="44">
        <f t="shared" si="19"/>
        <v>51.381917823446727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112260.18999999997</v>
      </c>
      <c r="AO27" s="44">
        <f t="shared" si="13"/>
        <v>165.93682257532956</v>
      </c>
      <c r="AP27" s="12">
        <f t="shared" si="14"/>
        <v>91923.349999999977</v>
      </c>
      <c r="AQ27" s="44">
        <f t="shared" si="36"/>
        <v>148.23068517240137</v>
      </c>
      <c r="AR27" s="12">
        <f>AF27-M27</f>
        <v>-51211.48000000004</v>
      </c>
      <c r="AS27" s="12">
        <f>IF(M27=0,0,AF27/M27*100)</f>
        <v>84.654625485398427</v>
      </c>
      <c r="AT27" s="31">
        <f>AF27</f>
        <v>282514.36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86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65906.66+124684.35</f>
        <v>190591.01</v>
      </c>
      <c r="W28" s="16"/>
      <c r="X28" s="16"/>
      <c r="Y28" s="16">
        <f>V28</f>
        <v>190591.01</v>
      </c>
      <c r="Z28" s="16">
        <v>100490</v>
      </c>
      <c r="AA28" s="16">
        <f>109952.06+439880.2</f>
        <v>549832.26</v>
      </c>
      <c r="AB28" s="16">
        <f>41757.79+128496.38</f>
        <v>170254.17</v>
      </c>
      <c r="AC28" s="13">
        <f>38212+14816.31</f>
        <v>53028.31</v>
      </c>
      <c r="AD28" s="13">
        <f>11496.43+11866.67</f>
        <v>23363.1</v>
      </c>
      <c r="AE28" s="13">
        <v>259151.26</v>
      </c>
      <c r="AF28" s="13">
        <f t="shared" si="24"/>
        <v>282514.36</v>
      </c>
      <c r="AG28" s="13">
        <f>AD28-AC28</f>
        <v>-29665.21</v>
      </c>
      <c r="AH28" s="44">
        <f t="shared" si="4"/>
        <v>182024.36</v>
      </c>
      <c r="AI28" s="44">
        <f t="shared" si="5"/>
        <v>281.13678973032142</v>
      </c>
      <c r="AJ28" s="13">
        <f t="shared" si="11"/>
        <v>-267317.90000000002</v>
      </c>
      <c r="AK28" s="42">
        <f t="shared" si="19"/>
        <v>51.381917823446727</v>
      </c>
      <c r="AL28" s="16"/>
      <c r="AM28" s="16"/>
      <c r="AN28" s="42">
        <f t="shared" si="12"/>
        <v>112260.18999999997</v>
      </c>
      <c r="AO28" s="42">
        <f t="shared" si="13"/>
        <v>165.93682257532956</v>
      </c>
      <c r="AP28" s="13">
        <f t="shared" si="14"/>
        <v>91923.349999999977</v>
      </c>
      <c r="AQ28" s="42">
        <f t="shared" si="36"/>
        <v>148.23068517240137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40" t="s">
        <v>16</v>
      </c>
      <c r="C29" s="140"/>
      <c r="D29" s="140"/>
      <c r="E29" s="140"/>
      <c r="F29" s="140"/>
      <c r="G29" s="140"/>
      <c r="H29" s="140"/>
      <c r="I29" s="140"/>
      <c r="J29" s="12">
        <f t="shared" ref="J29:AB29" si="54">J30</f>
        <v>13500</v>
      </c>
      <c r="K29" s="12">
        <f t="shared" si="54"/>
        <v>13500</v>
      </c>
      <c r="L29" s="12">
        <f t="shared" si="54"/>
        <v>13500</v>
      </c>
      <c r="M29" s="12">
        <f t="shared" si="54"/>
        <v>13500</v>
      </c>
      <c r="N29" s="12">
        <f t="shared" si="54"/>
        <v>145882.54999999999</v>
      </c>
      <c r="O29" s="12">
        <f t="shared" si="54"/>
        <v>145882.54999999999</v>
      </c>
      <c r="P29" s="12">
        <f t="shared" si="54"/>
        <v>145882.54999999999</v>
      </c>
      <c r="Q29" s="12">
        <v>145882.54999999999</v>
      </c>
      <c r="R29" s="12">
        <f t="shared" si="54"/>
        <v>145882.54999999999</v>
      </c>
      <c r="S29" s="12">
        <f t="shared" si="54"/>
        <v>65907.5</v>
      </c>
      <c r="T29" s="12">
        <f t="shared" si="54"/>
        <v>65907.5</v>
      </c>
      <c r="U29" s="12">
        <f>U30</f>
        <v>65907.5</v>
      </c>
      <c r="V29" s="12">
        <f t="shared" ref="V29:X29" si="55">V30</f>
        <v>0</v>
      </c>
      <c r="W29" s="12"/>
      <c r="X29" s="12">
        <f t="shared" si="55"/>
        <v>0</v>
      </c>
      <c r="Y29" s="12">
        <f>Y30</f>
        <v>0</v>
      </c>
      <c r="Z29" s="12">
        <f t="shared" si="54"/>
        <v>0</v>
      </c>
      <c r="AA29" s="12">
        <f t="shared" si="54"/>
        <v>60000</v>
      </c>
      <c r="AB29" s="12">
        <f t="shared" si="54"/>
        <v>0</v>
      </c>
      <c r="AC29" s="12">
        <f>AC30</f>
        <v>0</v>
      </c>
      <c r="AD29" s="12">
        <f>AD30</f>
        <v>0</v>
      </c>
      <c r="AE29" s="12">
        <v>0</v>
      </c>
      <c r="AF29" s="12">
        <f>AF30</f>
        <v>0</v>
      </c>
      <c r="AG29" s="12">
        <f t="shared" si="10"/>
        <v>0</v>
      </c>
      <c r="AH29" s="44">
        <f t="shared" si="4"/>
        <v>0</v>
      </c>
      <c r="AI29" s="44">
        <v>0</v>
      </c>
      <c r="AJ29" s="12">
        <f t="shared" si="11"/>
        <v>-60000</v>
      </c>
      <c r="AK29" s="44">
        <f t="shared" si="19"/>
        <v>0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0</v>
      </c>
      <c r="AO29" s="44">
        <v>0</v>
      </c>
      <c r="AP29" s="12">
        <f t="shared" si="14"/>
        <v>0</v>
      </c>
      <c r="AQ29" s="44">
        <v>0</v>
      </c>
      <c r="AR29" s="12">
        <f t="shared" ref="AR29:AR38" si="56">AF29-M29</f>
        <v>-13500</v>
      </c>
      <c r="AS29" s="12">
        <f t="shared" ref="AS29:AS38" si="57">IF(M29=0,0,AF29/M29*100)</f>
        <v>0</v>
      </c>
      <c r="AT29" s="34">
        <f t="shared" ref="AT29" si="58">AT30</f>
        <v>0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0</v>
      </c>
      <c r="W30" s="13"/>
      <c r="X30" s="13"/>
      <c r="Y30" s="13">
        <f>V30</f>
        <v>0</v>
      </c>
      <c r="Z30" s="13">
        <v>0</v>
      </c>
      <c r="AA30" s="13">
        <v>60000</v>
      </c>
      <c r="AB30" s="13">
        <v>0</v>
      </c>
      <c r="AC30" s="13">
        <v>0</v>
      </c>
      <c r="AD30" s="13">
        <v>0</v>
      </c>
      <c r="AE30" s="13">
        <v>0</v>
      </c>
      <c r="AF30" s="13">
        <f t="shared" si="24"/>
        <v>0</v>
      </c>
      <c r="AG30" s="13">
        <f t="shared" si="10"/>
        <v>0</v>
      </c>
      <c r="AH30" s="44">
        <f t="shared" si="4"/>
        <v>0</v>
      </c>
      <c r="AI30" s="44">
        <v>0</v>
      </c>
      <c r="AJ30" s="13">
        <f t="shared" si="11"/>
        <v>-60000</v>
      </c>
      <c r="AK30" s="42">
        <f t="shared" si="19"/>
        <v>0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0</v>
      </c>
      <c r="AO30" s="42">
        <v>0</v>
      </c>
      <c r="AP30" s="13">
        <f t="shared" si="14"/>
        <v>0</v>
      </c>
      <c r="AQ30" s="42">
        <v>0</v>
      </c>
      <c r="AR30" s="12">
        <f t="shared" si="56"/>
        <v>-13500</v>
      </c>
      <c r="AS30" s="12">
        <f t="shared" si="57"/>
        <v>0</v>
      </c>
      <c r="AT30" s="31">
        <f>AF30</f>
        <v>0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78</v>
      </c>
      <c r="J31" s="12">
        <f t="shared" ref="J31:R31" si="59">J35</f>
        <v>59624.2</v>
      </c>
      <c r="K31" s="12">
        <f t="shared" si="59"/>
        <v>59624.2</v>
      </c>
      <c r="L31" s="12">
        <f t="shared" si="59"/>
        <v>23095.54</v>
      </c>
      <c r="M31" s="12">
        <f t="shared" si="59"/>
        <v>23095.54</v>
      </c>
      <c r="N31" s="12">
        <f t="shared" si="59"/>
        <v>33317.79</v>
      </c>
      <c r="O31" s="12">
        <f t="shared" si="59"/>
        <v>67233.87</v>
      </c>
      <c r="P31" s="12">
        <f t="shared" si="59"/>
        <v>67233.87</v>
      </c>
      <c r="Q31" s="12">
        <v>67233.87</v>
      </c>
      <c r="R31" s="12">
        <f t="shared" si="59"/>
        <v>67233.87</v>
      </c>
      <c r="S31" s="12">
        <f t="shared" ref="S31:T31" si="60">S32+S33+S34+S35</f>
        <v>1027310</v>
      </c>
      <c r="T31" s="12">
        <f t="shared" si="60"/>
        <v>1126867.72</v>
      </c>
      <c r="U31" s="12">
        <f>U32+U33+U34+U35</f>
        <v>1126867.72</v>
      </c>
      <c r="V31" s="12">
        <f t="shared" ref="V31:Y31" si="61">V32+V33+V34+V35</f>
        <v>154009.06999999998</v>
      </c>
      <c r="W31" s="12">
        <f t="shared" si="61"/>
        <v>0</v>
      </c>
      <c r="X31" s="12">
        <f t="shared" si="61"/>
        <v>0</v>
      </c>
      <c r="Y31" s="12">
        <f t="shared" si="61"/>
        <v>154009.06999999998</v>
      </c>
      <c r="Z31" s="12">
        <f>Z32+Z33+Z34+Z35</f>
        <v>48000</v>
      </c>
      <c r="AA31" s="12">
        <f t="shared" ref="AA31" si="62">AA32+AA33+AA34+AA35</f>
        <v>723990</v>
      </c>
      <c r="AB31" s="12">
        <f t="shared" ref="AB31:AC31" si="63">AB32+AB33+AB34+AB35</f>
        <v>73458.320000000007</v>
      </c>
      <c r="AC31" s="12">
        <f t="shared" si="63"/>
        <v>16780.949999999997</v>
      </c>
      <c r="AD31" s="12">
        <f t="shared" ref="AD31" si="64">AD32+AD33+AD34+AD35</f>
        <v>12774.94</v>
      </c>
      <c r="AE31" s="12">
        <v>184431.09</v>
      </c>
      <c r="AF31" s="12">
        <f t="shared" ref="AF31" si="65">AF32+AF33+AF34+AF35</f>
        <v>197206.03</v>
      </c>
      <c r="AG31" s="12">
        <f t="shared" si="10"/>
        <v>-4006.0099999999966</v>
      </c>
      <c r="AH31" s="44">
        <f t="shared" si="4"/>
        <v>149206.03</v>
      </c>
      <c r="AI31" s="44">
        <v>0</v>
      </c>
      <c r="AJ31" s="12">
        <f t="shared" si="11"/>
        <v>-526783.97</v>
      </c>
      <c r="AK31" s="44">
        <f t="shared" si="19"/>
        <v>27.238778159919338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123747.70999999999</v>
      </c>
      <c r="AO31" s="44">
        <f t="shared" si="13"/>
        <v>268.45976058259976</v>
      </c>
      <c r="AP31" s="12">
        <f t="shared" si="14"/>
        <v>43196.960000000021</v>
      </c>
      <c r="AQ31" s="44">
        <f t="shared" si="36"/>
        <v>128.04832208908218</v>
      </c>
      <c r="AR31" s="12">
        <f t="shared" si="56"/>
        <v>174110.49</v>
      </c>
      <c r="AS31" s="12">
        <f t="shared" si="57"/>
        <v>853.87061744388734</v>
      </c>
      <c r="AT31" s="34">
        <f t="shared" ref="AT31" si="66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3" t="s">
        <v>87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145197.32999999999</v>
      </c>
      <c r="W32" s="13"/>
      <c r="X32" s="13"/>
      <c r="Y32" s="13">
        <f>V32</f>
        <v>145197.32999999999</v>
      </c>
      <c r="Z32" s="13"/>
      <c r="AA32" s="13">
        <v>649240</v>
      </c>
      <c r="AB32" s="13">
        <v>50000</v>
      </c>
      <c r="AC32" s="114">
        <v>11016.46</v>
      </c>
      <c r="AD32" s="114">
        <f>8604.87</f>
        <v>8604.8700000000008</v>
      </c>
      <c r="AE32" s="13">
        <v>160285.6</v>
      </c>
      <c r="AF32" s="13">
        <f t="shared" si="24"/>
        <v>168890.47</v>
      </c>
      <c r="AG32" s="13">
        <f t="shared" si="10"/>
        <v>-2411.5899999999983</v>
      </c>
      <c r="AH32" s="44"/>
      <c r="AI32" s="44"/>
      <c r="AJ32" s="13">
        <f t="shared" si="11"/>
        <v>-480349.53</v>
      </c>
      <c r="AK32" s="42">
        <f t="shared" si="19"/>
        <v>26.013565091491593</v>
      </c>
      <c r="AL32" s="12"/>
      <c r="AM32" s="12"/>
      <c r="AN32" s="42">
        <f t="shared" si="12"/>
        <v>118890.47</v>
      </c>
      <c r="AO32" s="42">
        <f t="shared" si="13"/>
        <v>337.78093999999999</v>
      </c>
      <c r="AP32" s="13">
        <f t="shared" si="14"/>
        <v>23693.140000000014</v>
      </c>
      <c r="AQ32" s="42">
        <f t="shared" si="36"/>
        <v>116.31788959204691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88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3348.11</v>
      </c>
      <c r="W33" s="13"/>
      <c r="X33" s="13"/>
      <c r="Y33" s="13">
        <f t="shared" ref="Y33:Y35" si="67">V33</f>
        <v>3348.11</v>
      </c>
      <c r="Z33" s="13"/>
      <c r="AA33" s="13">
        <v>74750</v>
      </c>
      <c r="AB33" s="13">
        <v>0</v>
      </c>
      <c r="AC33" s="114">
        <v>2336.4899999999998</v>
      </c>
      <c r="AD33" s="114">
        <f>4170.07</f>
        <v>4170.07</v>
      </c>
      <c r="AE33" s="13">
        <v>2336.4899999999998</v>
      </c>
      <c r="AF33" s="13">
        <f t="shared" si="24"/>
        <v>6506.5599999999995</v>
      </c>
      <c r="AG33" s="13">
        <f t="shared" si="10"/>
        <v>1833.58</v>
      </c>
      <c r="AH33" s="44"/>
      <c r="AI33" s="44"/>
      <c r="AJ33" s="13">
        <f t="shared" si="11"/>
        <v>-68243.44</v>
      </c>
      <c r="AK33" s="42">
        <f t="shared" si="19"/>
        <v>8.7044280936454843</v>
      </c>
      <c r="AL33" s="12"/>
      <c r="AM33" s="12"/>
      <c r="AN33" s="42">
        <f t="shared" si="12"/>
        <v>6506.5599999999995</v>
      </c>
      <c r="AO33" s="42">
        <v>0</v>
      </c>
      <c r="AP33" s="13">
        <f t="shared" si="14"/>
        <v>3158.4499999999994</v>
      </c>
      <c r="AQ33" s="42">
        <f t="shared" si="36"/>
        <v>194.33531156383751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89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7"/>
        <v>0</v>
      </c>
      <c r="Z34" s="13"/>
      <c r="AA34" s="13">
        <v>0</v>
      </c>
      <c r="AB34" s="13">
        <v>23458.32</v>
      </c>
      <c r="AC34" s="114">
        <v>3428</v>
      </c>
      <c r="AD34" s="114">
        <v>0</v>
      </c>
      <c r="AE34" s="13">
        <v>21809</v>
      </c>
      <c r="AF34" s="13">
        <f t="shared" si="24"/>
        <v>21809</v>
      </c>
      <c r="AG34" s="13">
        <f t="shared" si="10"/>
        <v>-3428</v>
      </c>
      <c r="AH34" s="44"/>
      <c r="AI34" s="44"/>
      <c r="AJ34" s="13">
        <f t="shared" si="11"/>
        <v>21809</v>
      </c>
      <c r="AK34" s="42">
        <v>0</v>
      </c>
      <c r="AL34" s="12"/>
      <c r="AM34" s="12"/>
      <c r="AN34" s="42">
        <f t="shared" si="12"/>
        <v>-1649.3199999999997</v>
      </c>
      <c r="AO34" s="42">
        <f t="shared" si="13"/>
        <v>92.969146980687441</v>
      </c>
      <c r="AP34" s="13">
        <f t="shared" si="14"/>
        <v>21809</v>
      </c>
      <c r="AQ34" s="42">
        <v>0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90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5463.63</v>
      </c>
      <c r="W35" s="13"/>
      <c r="X35" s="13"/>
      <c r="Y35" s="13">
        <f t="shared" si="67"/>
        <v>5463.63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4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42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42">
        <v>0</v>
      </c>
      <c r="AP35" s="13">
        <f t="shared" si="14"/>
        <v>-5463.63</v>
      </c>
      <c r="AQ35" s="42">
        <f t="shared" si="36"/>
        <v>0</v>
      </c>
      <c r="AR35" s="12">
        <f t="shared" si="56"/>
        <v>-23095.54</v>
      </c>
      <c r="AS35" s="12">
        <f t="shared" si="57"/>
        <v>0</v>
      </c>
      <c r="AT35" s="31">
        <f>AF35</f>
        <v>0</v>
      </c>
    </row>
    <row r="36" spans="1:47" s="10" customFormat="1" ht="40.5" hidden="1" customHeight="1" x14ac:dyDescent="0.3">
      <c r="A36" s="9"/>
      <c r="B36" s="124" t="s">
        <v>14</v>
      </c>
      <c r="C36" s="124"/>
      <c r="D36" s="124"/>
      <c r="E36" s="124"/>
      <c r="F36" s="124"/>
      <c r="G36" s="124"/>
      <c r="H36" s="124"/>
      <c r="I36" s="124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179237.92</v>
      </c>
      <c r="W36" s="12"/>
      <c r="X36" s="12"/>
      <c r="Y36" s="12">
        <f>V36</f>
        <v>179237.92</v>
      </c>
      <c r="Z36" s="12">
        <v>763440</v>
      </c>
      <c r="AA36" s="12">
        <v>447000</v>
      </c>
      <c r="AB36" s="12">
        <v>123877</v>
      </c>
      <c r="AC36" s="12">
        <f>146271.26+152.26</f>
        <v>146423.52000000002</v>
      </c>
      <c r="AD36" s="12">
        <f>1710.42+301.78+403.61+479703.89</f>
        <v>482119.7</v>
      </c>
      <c r="AE36" s="12">
        <v>309917.74</v>
      </c>
      <c r="AF36" s="12">
        <f t="shared" si="24"/>
        <v>792037.44</v>
      </c>
      <c r="AG36" s="12">
        <f t="shared" si="10"/>
        <v>335696.18</v>
      </c>
      <c r="AH36" s="44">
        <f t="shared" si="4"/>
        <v>28597.439999999944</v>
      </c>
      <c r="AI36" s="44">
        <v>0</v>
      </c>
      <c r="AJ36" s="12">
        <f t="shared" si="11"/>
        <v>345037.43999999994</v>
      </c>
      <c r="AK36" s="44">
        <f t="shared" si="19"/>
        <v>177.18958389261743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668160.43999999994</v>
      </c>
      <c r="AO36" s="44">
        <f t="shared" si="13"/>
        <v>639.37408881390411</v>
      </c>
      <c r="AP36" s="12">
        <f t="shared" si="14"/>
        <v>612799.5199999999</v>
      </c>
      <c r="AQ36" s="44">
        <f t="shared" si="36"/>
        <v>441.89167113744674</v>
      </c>
      <c r="AR36" s="12">
        <f t="shared" si="56"/>
        <v>849811.79999999993</v>
      </c>
      <c r="AS36" s="12">
        <f t="shared" si="57"/>
        <v>-1370.9151256716646</v>
      </c>
      <c r="AT36" s="34">
        <v>745000</v>
      </c>
    </row>
    <row r="37" spans="1:47" s="10" customFormat="1" ht="57.75" hidden="1" customHeight="1" x14ac:dyDescent="0.3">
      <c r="A37" s="9"/>
      <c r="B37" s="124" t="s">
        <v>13</v>
      </c>
      <c r="C37" s="124"/>
      <c r="D37" s="124"/>
      <c r="E37" s="124"/>
      <c r="F37" s="124"/>
      <c r="G37" s="124"/>
      <c r="H37" s="124"/>
      <c r="I37" s="124"/>
      <c r="J37" s="12">
        <f t="shared" ref="J37:N37" si="68">J38+J44</f>
        <v>26875602.490000002</v>
      </c>
      <c r="K37" s="12">
        <f t="shared" si="68"/>
        <v>26875602.490000002</v>
      </c>
      <c r="L37" s="12">
        <f t="shared" si="68"/>
        <v>10496131.460000001</v>
      </c>
      <c r="M37" s="12">
        <f t="shared" si="68"/>
        <v>10496131.460000001</v>
      </c>
      <c r="N37" s="12">
        <f t="shared" si="68"/>
        <v>29133952.98</v>
      </c>
      <c r="O37" s="12">
        <f>O38+O44</f>
        <v>30359839.810000002</v>
      </c>
      <c r="P37" s="12">
        <f t="shared" ref="P37" si="69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70">U38+U44</f>
        <v>34239492.269999996</v>
      </c>
      <c r="V37" s="12">
        <f t="shared" si="70"/>
        <v>5278892.2600000007</v>
      </c>
      <c r="W37" s="12"/>
      <c r="X37" s="12">
        <f t="shared" si="70"/>
        <v>0</v>
      </c>
      <c r="Y37" s="12">
        <f t="shared" si="70"/>
        <v>5278892.2600000007</v>
      </c>
      <c r="Z37" s="12">
        <f>Z38+Z44</f>
        <v>25090600</v>
      </c>
      <c r="AA37" s="12">
        <f>AA38+AA44</f>
        <v>29480458</v>
      </c>
      <c r="AB37" s="12">
        <f>AB38+AB44</f>
        <v>4216065.0199999996</v>
      </c>
      <c r="AC37" s="12">
        <f t="shared" ref="AC37" si="71">AC38+AC44</f>
        <v>1807675.35</v>
      </c>
      <c r="AD37" s="12">
        <f t="shared" ref="AD37" si="72">AD38+AD44</f>
        <v>760069.12</v>
      </c>
      <c r="AE37" s="12">
        <v>5873923.7300000004</v>
      </c>
      <c r="AF37" s="12">
        <f>AF38+AF44</f>
        <v>6633992.8500000006</v>
      </c>
      <c r="AG37" s="12">
        <f t="shared" si="10"/>
        <v>-1047606.2300000001</v>
      </c>
      <c r="AH37" s="44">
        <f t="shared" si="4"/>
        <v>-18456607.149999999</v>
      </c>
      <c r="AI37" s="44">
        <v>0</v>
      </c>
      <c r="AJ37" s="12">
        <f t="shared" si="11"/>
        <v>-22846465.149999999</v>
      </c>
      <c r="AK37" s="44">
        <f t="shared" si="19"/>
        <v>22.503018270611673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2417927.830000001</v>
      </c>
      <c r="AO37" s="44">
        <f t="shared" si="13"/>
        <v>157.35034489577205</v>
      </c>
      <c r="AP37" s="12">
        <f t="shared" si="14"/>
        <v>1355100.5899999999</v>
      </c>
      <c r="AQ37" s="44">
        <f t="shared" si="36"/>
        <v>125.67016948362571</v>
      </c>
      <c r="AR37" s="12">
        <f t="shared" si="56"/>
        <v>-3862138.6100000003</v>
      </c>
      <c r="AS37" s="12">
        <f t="shared" si="57"/>
        <v>63.204170748829405</v>
      </c>
      <c r="AT37" s="34">
        <f t="shared" ref="AT37" si="73">AT38+AT44</f>
        <v>6633992.8500000006</v>
      </c>
    </row>
    <row r="38" spans="1:47" s="5" customFormat="1" ht="39" hidden="1" customHeight="1" x14ac:dyDescent="0.3">
      <c r="A38" s="4"/>
      <c r="B38" s="141" t="s">
        <v>60</v>
      </c>
      <c r="C38" s="141"/>
      <c r="D38" s="141"/>
      <c r="E38" s="141"/>
      <c r="F38" s="141"/>
      <c r="G38" s="141"/>
      <c r="H38" s="141"/>
      <c r="I38" s="141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4">S39+S40+S43+S41+S42</f>
        <v>34618925.310000002</v>
      </c>
      <c r="T38" s="13">
        <f t="shared" si="74"/>
        <v>35367638.399999999</v>
      </c>
      <c r="U38" s="13">
        <f>U39+U40+U43</f>
        <v>33924709.399999999</v>
      </c>
      <c r="V38" s="13">
        <f t="shared" ref="V38:AC38" si="75">V39+V40+V43+V41+V42</f>
        <v>5210376.07</v>
      </c>
      <c r="W38" s="13"/>
      <c r="X38" s="13">
        <f t="shared" si="75"/>
        <v>0</v>
      </c>
      <c r="Y38" s="13">
        <f t="shared" si="75"/>
        <v>5210376.07</v>
      </c>
      <c r="Z38" s="13">
        <f t="shared" si="75"/>
        <v>25090600</v>
      </c>
      <c r="AA38" s="13">
        <f t="shared" si="75"/>
        <v>29480458</v>
      </c>
      <c r="AB38" s="13">
        <f t="shared" si="75"/>
        <v>4216065.0199999996</v>
      </c>
      <c r="AC38" s="13">
        <f t="shared" si="75"/>
        <v>1807675.35</v>
      </c>
      <c r="AD38" s="13">
        <f t="shared" ref="AD38" si="76">AD39+AD40+AD43+AD41+AD42</f>
        <v>760069.12</v>
      </c>
      <c r="AE38" s="13">
        <v>5873923.7300000004</v>
      </c>
      <c r="AF38" s="13">
        <f>AF39+AF40+AF43+AF41+AF42</f>
        <v>6633992.8500000006</v>
      </c>
      <c r="AG38" s="13">
        <f t="shared" si="10"/>
        <v>-1047606.2300000001</v>
      </c>
      <c r="AH38" s="44">
        <f t="shared" si="4"/>
        <v>-18456607.149999999</v>
      </c>
      <c r="AI38" s="44">
        <v>0</v>
      </c>
      <c r="AJ38" s="12">
        <f t="shared" si="11"/>
        <v>-22846465.149999999</v>
      </c>
      <c r="AK38" s="42">
        <f t="shared" si="19"/>
        <v>22.503018270611673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2417927.830000001</v>
      </c>
      <c r="AO38" s="42">
        <f t="shared" si="13"/>
        <v>157.35034489577205</v>
      </c>
      <c r="AP38" s="13">
        <f t="shared" si="14"/>
        <v>1423616.7800000003</v>
      </c>
      <c r="AQ38" s="42">
        <f t="shared" si="36"/>
        <v>127.3227260542059</v>
      </c>
      <c r="AR38" s="12">
        <f t="shared" si="56"/>
        <v>-3237691.13</v>
      </c>
      <c r="AS38" s="12">
        <f t="shared" si="57"/>
        <v>67.202240908850484</v>
      </c>
      <c r="AT38" s="31">
        <f>AF38</f>
        <v>6633992.8500000006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91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82197.13</v>
      </c>
      <c r="W39" s="31"/>
      <c r="X39" s="31"/>
      <c r="Y39" s="31">
        <f>V39</f>
        <v>82197.13</v>
      </c>
      <c r="Z39" s="31">
        <v>360000</v>
      </c>
      <c r="AA39" s="31">
        <v>380458</v>
      </c>
      <c r="AB39" s="31">
        <v>32000</v>
      </c>
      <c r="AC39" s="31">
        <f>8175+3170</f>
        <v>11345</v>
      </c>
      <c r="AD39" s="31">
        <f>235+455</f>
        <v>690</v>
      </c>
      <c r="AE39" s="31">
        <v>60996</v>
      </c>
      <c r="AF39" s="31">
        <f t="shared" si="24"/>
        <v>61686</v>
      </c>
      <c r="AG39" s="31">
        <f t="shared" si="10"/>
        <v>-10655</v>
      </c>
      <c r="AH39" s="103">
        <f t="shared" si="4"/>
        <v>-298314</v>
      </c>
      <c r="AI39" s="103">
        <f>AF39/Z39*100</f>
        <v>17.135000000000002</v>
      </c>
      <c r="AJ39" s="31">
        <f t="shared" si="11"/>
        <v>-318772</v>
      </c>
      <c r="AK39" s="103">
        <f t="shared" si="19"/>
        <v>16.213616220450088</v>
      </c>
      <c r="AL39" s="31"/>
      <c r="AM39" s="31"/>
      <c r="AN39" s="103">
        <f t="shared" si="12"/>
        <v>29686</v>
      </c>
      <c r="AO39" s="103">
        <f t="shared" si="13"/>
        <v>192.76875000000001</v>
      </c>
      <c r="AP39" s="31">
        <f t="shared" si="14"/>
        <v>-20511.130000000005</v>
      </c>
      <c r="AQ39" s="103">
        <f t="shared" si="36"/>
        <v>75.046415854178846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92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7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8">T40</f>
        <v>33218079.799999997</v>
      </c>
      <c r="V40" s="31">
        <v>4852664.9400000004</v>
      </c>
      <c r="W40" s="31"/>
      <c r="X40" s="31"/>
      <c r="Y40" s="31">
        <f>V40</f>
        <v>4852664.9400000004</v>
      </c>
      <c r="Z40" s="31">
        <v>22830600</v>
      </c>
      <c r="AA40" s="31">
        <v>27500000</v>
      </c>
      <c r="AB40" s="31">
        <v>4013400</v>
      </c>
      <c r="AC40" s="31">
        <f>1441338+285312.35</f>
        <v>1726650.35</v>
      </c>
      <c r="AD40" s="31">
        <f>279022.24+453106.88</f>
        <v>732129.12</v>
      </c>
      <c r="AE40" s="31">
        <v>5441807.7300000004</v>
      </c>
      <c r="AF40" s="31">
        <f t="shared" si="24"/>
        <v>6173936.8500000006</v>
      </c>
      <c r="AG40" s="31">
        <f t="shared" si="10"/>
        <v>-994521.2300000001</v>
      </c>
      <c r="AH40" s="103">
        <f t="shared" si="4"/>
        <v>-16656663.149999999</v>
      </c>
      <c r="AI40" s="103">
        <f>AF40/Z40*100</f>
        <v>27.042376678668106</v>
      </c>
      <c r="AJ40" s="31">
        <f t="shared" si="11"/>
        <v>-21326063.149999999</v>
      </c>
      <c r="AK40" s="103">
        <f t="shared" si="19"/>
        <v>22.450679454545458</v>
      </c>
      <c r="AL40" s="31"/>
      <c r="AM40" s="31"/>
      <c r="AN40" s="103">
        <f t="shared" si="12"/>
        <v>2160536.8500000006</v>
      </c>
      <c r="AO40" s="103">
        <f t="shared" si="13"/>
        <v>153.83308043055766</v>
      </c>
      <c r="AP40" s="31">
        <f t="shared" si="14"/>
        <v>1321271.9100000001</v>
      </c>
      <c r="AQ40" s="103">
        <f t="shared" si="36"/>
        <v>127.22775889818595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93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271994</v>
      </c>
      <c r="W41" s="31"/>
      <c r="X41" s="31"/>
      <c r="Y41" s="31">
        <f t="shared" ref="Y41:Y42" si="79">V41</f>
        <v>271994</v>
      </c>
      <c r="Z41" s="31">
        <v>1400000</v>
      </c>
      <c r="AA41" s="31">
        <v>1400000</v>
      </c>
      <c r="AB41" s="31">
        <v>120665.02</v>
      </c>
      <c r="AC41" s="31">
        <f>47440+17740</f>
        <v>65180</v>
      </c>
      <c r="AD41" s="31">
        <f>17650+9600</f>
        <v>27250</v>
      </c>
      <c r="AE41" s="31">
        <v>366620</v>
      </c>
      <c r="AF41" s="31">
        <f t="shared" si="24"/>
        <v>393870</v>
      </c>
      <c r="AG41" s="31">
        <f t="shared" si="10"/>
        <v>-37930</v>
      </c>
      <c r="AH41" s="103">
        <f t="shared" si="4"/>
        <v>-1006130</v>
      </c>
      <c r="AI41" s="103">
        <f t="shared" ref="AI41:AI42" si="80">AF41/Z41*100</f>
        <v>28.133571428571429</v>
      </c>
      <c r="AJ41" s="31">
        <f t="shared" si="11"/>
        <v>-1006130</v>
      </c>
      <c r="AK41" s="103">
        <f t="shared" si="19"/>
        <v>28.133571428571429</v>
      </c>
      <c r="AL41" s="31"/>
      <c r="AM41" s="31"/>
      <c r="AN41" s="103">
        <f t="shared" si="12"/>
        <v>273204.98</v>
      </c>
      <c r="AO41" s="103">
        <f t="shared" si="13"/>
        <v>326.41605661690522</v>
      </c>
      <c r="AP41" s="31">
        <f t="shared" si="14"/>
        <v>121876</v>
      </c>
      <c r="AQ41" s="103">
        <f t="shared" si="36"/>
        <v>144.80834136047119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94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9"/>
        <v>0</v>
      </c>
      <c r="Z42" s="31">
        <v>500000</v>
      </c>
      <c r="AA42" s="31">
        <v>200000</v>
      </c>
      <c r="AB42" s="31">
        <v>50000</v>
      </c>
      <c r="AC42" s="31">
        <v>0</v>
      </c>
      <c r="AD42" s="31">
        <v>0</v>
      </c>
      <c r="AE42" s="31">
        <v>0</v>
      </c>
      <c r="AF42" s="31">
        <f t="shared" si="24"/>
        <v>0</v>
      </c>
      <c r="AG42" s="31">
        <f t="shared" si="10"/>
        <v>0</v>
      </c>
      <c r="AH42" s="103">
        <f t="shared" si="4"/>
        <v>-500000</v>
      </c>
      <c r="AI42" s="103">
        <f t="shared" si="80"/>
        <v>0</v>
      </c>
      <c r="AJ42" s="31">
        <f t="shared" si="11"/>
        <v>-200000</v>
      </c>
      <c r="AK42" s="103">
        <f t="shared" si="19"/>
        <v>0</v>
      </c>
      <c r="AL42" s="31"/>
      <c r="AM42" s="31"/>
      <c r="AN42" s="103">
        <f t="shared" si="12"/>
        <v>-50000</v>
      </c>
      <c r="AO42" s="103">
        <f t="shared" si="13"/>
        <v>0</v>
      </c>
      <c r="AP42" s="31">
        <f t="shared" si="14"/>
        <v>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95</v>
      </c>
      <c r="J43" s="31"/>
      <c r="K43" s="31"/>
      <c r="L43" s="31"/>
      <c r="M43" s="31"/>
      <c r="N43" s="31"/>
      <c r="O43" s="31">
        <v>0</v>
      </c>
      <c r="P43" s="31">
        <f t="shared" si="77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8"/>
        <v>68665.72</v>
      </c>
      <c r="V43" s="31">
        <v>3520</v>
      </c>
      <c r="W43" s="31"/>
      <c r="X43" s="31"/>
      <c r="Y43" s="31">
        <f>V43</f>
        <v>3520</v>
      </c>
      <c r="Z43" s="31">
        <v>0</v>
      </c>
      <c r="AA43" s="31">
        <v>0</v>
      </c>
      <c r="AB43" s="31">
        <v>0</v>
      </c>
      <c r="AC43" s="31">
        <v>4500</v>
      </c>
      <c r="AD43" s="31">
        <v>0</v>
      </c>
      <c r="AE43" s="31">
        <v>4500</v>
      </c>
      <c r="AF43" s="31">
        <f t="shared" si="24"/>
        <v>4500</v>
      </c>
      <c r="AG43" s="31">
        <f t="shared" si="10"/>
        <v>-4500</v>
      </c>
      <c r="AH43" s="103">
        <f t="shared" si="4"/>
        <v>4500</v>
      </c>
      <c r="AI43" s="103">
        <v>0</v>
      </c>
      <c r="AJ43" s="31">
        <f t="shared" si="11"/>
        <v>4500</v>
      </c>
      <c r="AK43" s="103">
        <v>100</v>
      </c>
      <c r="AL43" s="31"/>
      <c r="AM43" s="31"/>
      <c r="AN43" s="103">
        <f t="shared" si="12"/>
        <v>4500</v>
      </c>
      <c r="AO43" s="103">
        <v>0</v>
      </c>
      <c r="AP43" s="31">
        <f t="shared" si="14"/>
        <v>980</v>
      </c>
      <c r="AQ43" s="103">
        <f t="shared" si="36"/>
        <v>127.84090909090908</v>
      </c>
      <c r="AR43" s="12"/>
      <c r="AS43" s="12"/>
      <c r="AT43" s="31"/>
    </row>
    <row r="44" spans="1:47" s="5" customFormat="1" ht="28.5" hidden="1" customHeight="1" x14ac:dyDescent="0.3">
      <c r="A44" s="4"/>
      <c r="B44" s="141" t="s">
        <v>12</v>
      </c>
      <c r="C44" s="141"/>
      <c r="D44" s="141"/>
      <c r="E44" s="141"/>
      <c r="F44" s="141"/>
      <c r="G44" s="141"/>
      <c r="H44" s="141"/>
      <c r="I44" s="141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68516.19</v>
      </c>
      <c r="W44" s="13"/>
      <c r="X44" s="13"/>
      <c r="Y44" s="13">
        <f>V44</f>
        <v>68516.19</v>
      </c>
      <c r="Z44" s="13"/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f t="shared" si="24"/>
        <v>0</v>
      </c>
      <c r="AG44" s="13">
        <f t="shared" si="10"/>
        <v>0</v>
      </c>
      <c r="AH44" s="44">
        <f t="shared" si="4"/>
        <v>0</v>
      </c>
      <c r="AI44" s="44">
        <v>0</v>
      </c>
      <c r="AJ44" s="13">
        <f t="shared" si="11"/>
        <v>0</v>
      </c>
      <c r="AK44" s="42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0</v>
      </c>
      <c r="AO44" s="115">
        <v>0</v>
      </c>
      <c r="AP44" s="13">
        <f t="shared" si="14"/>
        <v>-68516.19</v>
      </c>
      <c r="AQ44" s="115">
        <f t="shared" si="36"/>
        <v>0</v>
      </c>
      <c r="AR44" s="12">
        <f t="shared" ref="AR44:AR59" si="81">AF44-M44</f>
        <v>-624447.48</v>
      </c>
      <c r="AS44" s="12">
        <f t="shared" ref="AS44:AS59" si="82">IF(M44=0,0,AF44/M44*100)</f>
        <v>0</v>
      </c>
      <c r="AT44" s="31">
        <f>AF44</f>
        <v>0</v>
      </c>
    </row>
    <row r="45" spans="1:47" s="10" customFormat="1" ht="60" hidden="1" customHeight="1" x14ac:dyDescent="0.3">
      <c r="A45" s="9"/>
      <c r="B45" s="124" t="s">
        <v>11</v>
      </c>
      <c r="C45" s="124"/>
      <c r="D45" s="124"/>
      <c r="E45" s="124"/>
      <c r="F45" s="124"/>
      <c r="G45" s="124"/>
      <c r="H45" s="124"/>
      <c r="I45" s="124"/>
      <c r="J45" s="12">
        <f t="shared" ref="J45:AF45" si="83">J46+J47</f>
        <v>4290634.29</v>
      </c>
      <c r="K45" s="12">
        <f t="shared" si="83"/>
        <v>4290634.29</v>
      </c>
      <c r="L45" s="12">
        <f t="shared" si="83"/>
        <v>3198289.13</v>
      </c>
      <c r="M45" s="12">
        <f t="shared" si="83"/>
        <v>3198289.13</v>
      </c>
      <c r="N45" s="12">
        <f t="shared" si="83"/>
        <v>3516712.9</v>
      </c>
      <c r="O45" s="12">
        <f t="shared" si="83"/>
        <v>4112775.06</v>
      </c>
      <c r="P45" s="12">
        <f t="shared" si="83"/>
        <v>4112775.06</v>
      </c>
      <c r="Q45" s="12">
        <v>4112775.06</v>
      </c>
      <c r="R45" s="12">
        <f t="shared" si="83"/>
        <v>4112775.06</v>
      </c>
      <c r="S45" s="12">
        <f t="shared" si="83"/>
        <v>1171237.6000000001</v>
      </c>
      <c r="T45" s="12">
        <f t="shared" si="83"/>
        <v>2218931.5799999996</v>
      </c>
      <c r="U45" s="12">
        <f t="shared" si="83"/>
        <v>2218931.5799999996</v>
      </c>
      <c r="V45" s="12">
        <f t="shared" si="83"/>
        <v>313467.44</v>
      </c>
      <c r="W45" s="12"/>
      <c r="X45" s="12">
        <f t="shared" si="83"/>
        <v>0</v>
      </c>
      <c r="Y45" s="12">
        <f t="shared" si="83"/>
        <v>313467.44</v>
      </c>
      <c r="Z45" s="12">
        <f t="shared" si="83"/>
        <v>132000</v>
      </c>
      <c r="AA45" s="12">
        <f t="shared" si="83"/>
        <v>132000</v>
      </c>
      <c r="AB45" s="12">
        <f t="shared" si="83"/>
        <v>0</v>
      </c>
      <c r="AC45" s="12">
        <f t="shared" si="83"/>
        <v>10100</v>
      </c>
      <c r="AD45" s="12">
        <f t="shared" ref="AD45" si="84">AD46+AD47</f>
        <v>0</v>
      </c>
      <c r="AE45" s="12">
        <v>391172.12</v>
      </c>
      <c r="AF45" s="12">
        <f t="shared" si="83"/>
        <v>391172.12</v>
      </c>
      <c r="AG45" s="12">
        <f t="shared" si="10"/>
        <v>-10100</v>
      </c>
      <c r="AH45" s="44">
        <f t="shared" si="4"/>
        <v>259172.12</v>
      </c>
      <c r="AI45" s="44">
        <f t="shared" ref="AI45:AI58" si="85">AF45/Z45*100</f>
        <v>296.34251515151516</v>
      </c>
      <c r="AJ45" s="12">
        <f t="shared" si="11"/>
        <v>259172.12</v>
      </c>
      <c r="AK45" s="44">
        <f t="shared" si="19"/>
        <v>296.34251515151516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391172.12</v>
      </c>
      <c r="AO45" s="44">
        <v>0</v>
      </c>
      <c r="AP45" s="12">
        <f t="shared" si="14"/>
        <v>77704.679999999993</v>
      </c>
      <c r="AQ45" s="44">
        <f t="shared" si="36"/>
        <v>124.78875636972057</v>
      </c>
      <c r="AR45" s="12">
        <f t="shared" si="81"/>
        <v>-2807117.01</v>
      </c>
      <c r="AS45" s="12">
        <f t="shared" si="82"/>
        <v>12.230667838338931</v>
      </c>
      <c r="AT45" s="34">
        <f t="shared" ref="AT45" si="86">AT46+AT47</f>
        <v>391172.12</v>
      </c>
    </row>
    <row r="46" spans="1:47" s="5" customFormat="1" ht="63" hidden="1" customHeight="1" x14ac:dyDescent="0.3">
      <c r="A46" s="4"/>
      <c r="B46" s="141" t="s">
        <v>37</v>
      </c>
      <c r="C46" s="141"/>
      <c r="D46" s="141"/>
      <c r="E46" s="141"/>
      <c r="F46" s="141"/>
      <c r="G46" s="141"/>
      <c r="H46" s="141"/>
      <c r="I46" s="141"/>
      <c r="J46" s="13">
        <v>163530</v>
      </c>
      <c r="K46" s="13">
        <f t="shared" ref="K46:K49" si="87">J46</f>
        <v>163530</v>
      </c>
      <c r="L46" s="13">
        <v>0</v>
      </c>
      <c r="M46" s="13">
        <f t="shared" ref="M46:M49" si="88">L46</f>
        <v>0</v>
      </c>
      <c r="N46" s="13">
        <v>762433</v>
      </c>
      <c r="O46" s="13">
        <v>763713</v>
      </c>
      <c r="P46" s="13">
        <f t="shared" ref="P46:P49" si="89">O46</f>
        <v>763713</v>
      </c>
      <c r="Q46" s="13">
        <v>763713</v>
      </c>
      <c r="R46" s="13">
        <f t="shared" ref="R46:R48" si="90">Q46</f>
        <v>763713</v>
      </c>
      <c r="S46" s="13">
        <v>5228.8</v>
      </c>
      <c r="T46" s="13">
        <v>5228.8</v>
      </c>
      <c r="U46" s="13">
        <f t="shared" ref="U46:U49" si="91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4"/>
        <v>0</v>
      </c>
      <c r="AG46" s="13">
        <f t="shared" si="10"/>
        <v>0</v>
      </c>
      <c r="AH46" s="44">
        <f t="shared" si="4"/>
        <v>-132000</v>
      </c>
      <c r="AI46" s="44">
        <f t="shared" si="85"/>
        <v>0</v>
      </c>
      <c r="AJ46" s="13">
        <f t="shared" si="11"/>
        <v>0</v>
      </c>
      <c r="AK46" s="42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42">
        <v>0</v>
      </c>
      <c r="AP46" s="13">
        <f t="shared" si="14"/>
        <v>-5228.8</v>
      </c>
      <c r="AQ46" s="42">
        <f t="shared" si="36"/>
        <v>0</v>
      </c>
      <c r="AR46" s="12">
        <f t="shared" si="81"/>
        <v>0</v>
      </c>
      <c r="AS46" s="12">
        <f t="shared" si="82"/>
        <v>0</v>
      </c>
      <c r="AT46" s="31">
        <f>AF46</f>
        <v>0</v>
      </c>
    </row>
    <row r="47" spans="1:47" s="5" customFormat="1" ht="65.25" hidden="1" customHeight="1" x14ac:dyDescent="0.3">
      <c r="A47" s="4"/>
      <c r="B47" s="141" t="s">
        <v>10</v>
      </c>
      <c r="C47" s="141"/>
      <c r="D47" s="141"/>
      <c r="E47" s="141"/>
      <c r="F47" s="141"/>
      <c r="G47" s="141"/>
      <c r="H47" s="141"/>
      <c r="I47" s="141"/>
      <c r="J47" s="13">
        <v>4127104.29</v>
      </c>
      <c r="K47" s="13">
        <f t="shared" si="87"/>
        <v>4127104.29</v>
      </c>
      <c r="L47" s="13">
        <v>3198289.13</v>
      </c>
      <c r="M47" s="13">
        <f t="shared" si="88"/>
        <v>3198289.13</v>
      </c>
      <c r="N47" s="13">
        <v>2754279.9</v>
      </c>
      <c r="O47" s="13">
        <v>3349062.06</v>
      </c>
      <c r="P47" s="13">
        <f t="shared" si="89"/>
        <v>3349062.06</v>
      </c>
      <c r="Q47" s="13">
        <v>3349062.06</v>
      </c>
      <c r="R47" s="13">
        <f t="shared" si="90"/>
        <v>3349062.06</v>
      </c>
      <c r="S47" s="13">
        <v>1166008.8</v>
      </c>
      <c r="T47" s="13">
        <v>2213702.7799999998</v>
      </c>
      <c r="U47" s="13">
        <f t="shared" si="91"/>
        <v>2213702.7799999998</v>
      </c>
      <c r="V47" s="13">
        <v>308238.64</v>
      </c>
      <c r="W47" s="13"/>
      <c r="X47" s="13"/>
      <c r="Y47" s="13">
        <f>V47</f>
        <v>308238.64</v>
      </c>
      <c r="Z47" s="13">
        <v>0</v>
      </c>
      <c r="AA47" s="13">
        <v>132000</v>
      </c>
      <c r="AB47" s="13">
        <v>0</v>
      </c>
      <c r="AC47" s="13">
        <v>10100</v>
      </c>
      <c r="AD47" s="13">
        <v>0</v>
      </c>
      <c r="AE47" s="13">
        <v>391172.12</v>
      </c>
      <c r="AF47" s="13">
        <f t="shared" si="24"/>
        <v>391172.12</v>
      </c>
      <c r="AG47" s="13">
        <f t="shared" si="10"/>
        <v>-10100</v>
      </c>
      <c r="AH47" s="44">
        <f t="shared" si="4"/>
        <v>391172.12</v>
      </c>
      <c r="AI47" s="44">
        <v>0</v>
      </c>
      <c r="AJ47" s="13">
        <f t="shared" si="11"/>
        <v>259172.12</v>
      </c>
      <c r="AK47" s="42">
        <f>AF47/AA47%</f>
        <v>296.34251515151516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391172.12</v>
      </c>
      <c r="AO47" s="42">
        <v>0</v>
      </c>
      <c r="AP47" s="13">
        <f t="shared" si="14"/>
        <v>82933.479999999981</v>
      </c>
      <c r="AQ47" s="42">
        <f t="shared" si="36"/>
        <v>126.90560794065271</v>
      </c>
      <c r="AR47" s="12">
        <f t="shared" si="81"/>
        <v>-2807117.01</v>
      </c>
      <c r="AS47" s="12">
        <f t="shared" si="82"/>
        <v>12.230667838338931</v>
      </c>
      <c r="AT47" s="31">
        <f>AF47</f>
        <v>391172.12</v>
      </c>
      <c r="AU47" s="86"/>
    </row>
    <row r="48" spans="1:47" s="10" customFormat="1" ht="39.75" hidden="1" customHeight="1" x14ac:dyDescent="0.3">
      <c r="A48" s="9"/>
      <c r="B48" s="124" t="s">
        <v>9</v>
      </c>
      <c r="C48" s="124"/>
      <c r="D48" s="124"/>
      <c r="E48" s="124"/>
      <c r="F48" s="124"/>
      <c r="G48" s="124"/>
      <c r="H48" s="124"/>
      <c r="I48" s="124"/>
      <c r="J48" s="12">
        <v>2338187.02</v>
      </c>
      <c r="K48" s="12">
        <f t="shared" si="87"/>
        <v>2338187.02</v>
      </c>
      <c r="L48" s="12">
        <v>974257.27</v>
      </c>
      <c r="M48" s="12">
        <f t="shared" si="88"/>
        <v>974257.27</v>
      </c>
      <c r="N48" s="12">
        <v>2799320.03</v>
      </c>
      <c r="O48" s="12">
        <v>3055345.14</v>
      </c>
      <c r="P48" s="12">
        <f t="shared" si="89"/>
        <v>3055345.14</v>
      </c>
      <c r="Q48" s="12">
        <v>3055345.14</v>
      </c>
      <c r="R48" s="12">
        <f t="shared" si="90"/>
        <v>3055345.14</v>
      </c>
      <c r="S48" s="12">
        <v>2239812</v>
      </c>
      <c r="T48" s="12">
        <v>2273274.8299999996</v>
      </c>
      <c r="U48" s="12">
        <f t="shared" si="91"/>
        <v>2273274.8299999996</v>
      </c>
      <c r="V48" s="12">
        <v>120341.2</v>
      </c>
      <c r="W48" s="12"/>
      <c r="X48" s="12"/>
      <c r="Y48" s="12">
        <f>V48</f>
        <v>120341.2</v>
      </c>
      <c r="Z48" s="12">
        <v>1249470</v>
      </c>
      <c r="AA48" s="12">
        <v>1147080</v>
      </c>
      <c r="AB48" s="12">
        <v>129417</v>
      </c>
      <c r="AC48" s="12">
        <f>13328.43+150+2000+3000</f>
        <v>18478.43</v>
      </c>
      <c r="AD48" s="12">
        <f>13614.36+27+2250.09+150+250+0.23+500+499.68+1000</f>
        <v>18291.36</v>
      </c>
      <c r="AE48" s="12">
        <v>189605.6</v>
      </c>
      <c r="AF48" s="12">
        <f t="shared" si="24"/>
        <v>207896.96000000002</v>
      </c>
      <c r="AG48" s="12">
        <f t="shared" si="10"/>
        <v>-187.06999999999971</v>
      </c>
      <c r="AH48" s="44">
        <f t="shared" si="4"/>
        <v>-1041573.04</v>
      </c>
      <c r="AI48" s="44">
        <f t="shared" si="85"/>
        <v>16.638811656142206</v>
      </c>
      <c r="AJ48" s="12">
        <f t="shared" si="11"/>
        <v>-939183.04</v>
      </c>
      <c r="AK48" s="44">
        <f t="shared" si="19"/>
        <v>18.124015761760297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78479.960000000021</v>
      </c>
      <c r="AO48" s="44">
        <f t="shared" si="13"/>
        <v>160.64115224429557</v>
      </c>
      <c r="AP48" s="12">
        <f t="shared" si="14"/>
        <v>87555.760000000024</v>
      </c>
      <c r="AQ48" s="44">
        <f t="shared" si="36"/>
        <v>172.75626302546428</v>
      </c>
      <c r="AR48" s="12">
        <f t="shared" si="81"/>
        <v>-766360.31</v>
      </c>
      <c r="AS48" s="12">
        <f t="shared" si="82"/>
        <v>21.339020646979623</v>
      </c>
      <c r="AT48" s="34">
        <f>AF48</f>
        <v>207896.96000000002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7"/>
        <v>256536.06</v>
      </c>
      <c r="L49" s="16">
        <v>109317.03</v>
      </c>
      <c r="M49" s="16">
        <f t="shared" si="88"/>
        <v>109317.03</v>
      </c>
      <c r="N49" s="16">
        <v>210726.7</v>
      </c>
      <c r="O49" s="25">
        <f>221100.64+0.02+606.42</f>
        <v>221707.08000000002</v>
      </c>
      <c r="P49" s="16">
        <f t="shared" si="89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91"/>
        <v>278352.34000000003</v>
      </c>
      <c r="V49" s="25">
        <v>37016.6</v>
      </c>
      <c r="W49" s="25"/>
      <c r="X49" s="25"/>
      <c r="Y49" s="16">
        <f>V49</f>
        <v>37016.6</v>
      </c>
      <c r="Z49" s="25">
        <v>336190</v>
      </c>
      <c r="AA49" s="25">
        <v>159900</v>
      </c>
      <c r="AB49" s="25">
        <v>12000</v>
      </c>
      <c r="AC49" s="25">
        <v>3500</v>
      </c>
      <c r="AD49" s="25">
        <f>2500+1000</f>
        <v>3500</v>
      </c>
      <c r="AE49" s="25">
        <v>13737.86</v>
      </c>
      <c r="AF49" s="25">
        <f t="shared" si="24"/>
        <v>17237.86</v>
      </c>
      <c r="AG49" s="16">
        <f t="shared" si="10"/>
        <v>0</v>
      </c>
      <c r="AH49" s="44">
        <f t="shared" si="4"/>
        <v>-318952.14</v>
      </c>
      <c r="AI49" s="44">
        <f t="shared" si="85"/>
        <v>5.1274160444986467</v>
      </c>
      <c r="AJ49" s="12">
        <f t="shared" si="11"/>
        <v>-142662.14000000001</v>
      </c>
      <c r="AK49" s="42">
        <f t="shared" si="19"/>
        <v>10.780400250156347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5237.8600000000006</v>
      </c>
      <c r="AO49" s="42">
        <f t="shared" si="13"/>
        <v>143.64883333333333</v>
      </c>
      <c r="AP49" s="13">
        <f t="shared" si="14"/>
        <v>-19778.739999999998</v>
      </c>
      <c r="AQ49" s="42">
        <f t="shared" si="36"/>
        <v>46.567918177250206</v>
      </c>
      <c r="AR49" s="12">
        <f t="shared" si="81"/>
        <v>-92079.17</v>
      </c>
      <c r="AS49" s="12">
        <f t="shared" si="82"/>
        <v>15.768686727036036</v>
      </c>
      <c r="AT49" s="31">
        <f>AF49</f>
        <v>17237.86</v>
      </c>
      <c r="AV49" s="25"/>
    </row>
    <row r="50" spans="1:48" s="10" customFormat="1" ht="36.75" hidden="1" customHeight="1" x14ac:dyDescent="0.3">
      <c r="A50" s="9"/>
      <c r="B50" s="124" t="s">
        <v>7</v>
      </c>
      <c r="C50" s="124"/>
      <c r="D50" s="124"/>
      <c r="E50" s="124"/>
      <c r="F50" s="124"/>
      <c r="G50" s="124"/>
      <c r="H50" s="124"/>
      <c r="I50" s="124"/>
      <c r="J50" s="12">
        <f t="shared" ref="J50:P50" si="92">J51+J53</f>
        <v>1294662.3799999999</v>
      </c>
      <c r="K50" s="12">
        <f t="shared" si="92"/>
        <v>4238232.71</v>
      </c>
      <c r="L50" s="12">
        <f t="shared" si="92"/>
        <v>389278.05</v>
      </c>
      <c r="M50" s="12">
        <f t="shared" si="92"/>
        <v>1161188.5</v>
      </c>
      <c r="N50" s="12">
        <f t="shared" si="92"/>
        <v>2895802</v>
      </c>
      <c r="O50" s="12">
        <f t="shared" si="92"/>
        <v>4075696.4</v>
      </c>
      <c r="P50" s="12">
        <f t="shared" si="92"/>
        <v>4075696.4</v>
      </c>
      <c r="Q50" s="12">
        <v>4075696.4</v>
      </c>
      <c r="R50" s="12">
        <f t="shared" ref="R50" si="93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4">U51+U52+U53</f>
        <v>5495063.3199999994</v>
      </c>
      <c r="V50" s="12">
        <f t="shared" si="94"/>
        <v>2081692.92</v>
      </c>
      <c r="W50" s="12">
        <f t="shared" si="94"/>
        <v>0</v>
      </c>
      <c r="X50" s="12">
        <f t="shared" si="94"/>
        <v>0</v>
      </c>
      <c r="Y50" s="12">
        <f t="shared" si="94"/>
        <v>2081692.92</v>
      </c>
      <c r="Z50" s="12">
        <f t="shared" ref="Z50:AB50" si="95">Z51+Z53</f>
        <v>2715689.65</v>
      </c>
      <c r="AA50" s="12">
        <f t="shared" si="95"/>
        <v>2943570.33</v>
      </c>
      <c r="AB50" s="12">
        <f t="shared" si="95"/>
        <v>478612.28</v>
      </c>
      <c r="AC50" s="12">
        <f>AC51+AC52+AC53</f>
        <v>165041.39000000001</v>
      </c>
      <c r="AD50" s="12">
        <f>AD51+AD52+AD53</f>
        <v>99865.16</v>
      </c>
      <c r="AE50" s="12">
        <v>728450.28999999992</v>
      </c>
      <c r="AF50" s="12">
        <f>AF51+AF52+AF53</f>
        <v>828315.45</v>
      </c>
      <c r="AG50" s="12">
        <f t="shared" si="10"/>
        <v>-65176.23000000001</v>
      </c>
      <c r="AH50" s="44">
        <f t="shared" si="4"/>
        <v>-1887374.2</v>
      </c>
      <c r="AI50" s="44">
        <f t="shared" si="85"/>
        <v>30.501108622629246</v>
      </c>
      <c r="AJ50" s="12">
        <f t="shared" si="11"/>
        <v>-2115254.88</v>
      </c>
      <c r="AK50" s="44">
        <f t="shared" si="19"/>
        <v>28.139821955604504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349703.16999999993</v>
      </c>
      <c r="AO50" s="44">
        <f t="shared" si="13"/>
        <v>173.06606717236755</v>
      </c>
      <c r="AP50" s="12">
        <f t="shared" si="14"/>
        <v>-1253377.47</v>
      </c>
      <c r="AQ50" s="44">
        <f t="shared" si="36"/>
        <v>39.790472554424596</v>
      </c>
      <c r="AR50" s="12">
        <f t="shared" si="81"/>
        <v>-332873.05000000005</v>
      </c>
      <c r="AS50" s="12">
        <f t="shared" si="82"/>
        <v>71.333418303746541</v>
      </c>
      <c r="AT50" s="34">
        <f t="shared" ref="AT50" si="96">AT51+AT53</f>
        <v>4360552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79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38295.47</v>
      </c>
      <c r="W51" s="13"/>
      <c r="X51" s="13"/>
      <c r="Y51" s="13">
        <f>V51</f>
        <v>38295.47</v>
      </c>
      <c r="Z51" s="13">
        <v>0</v>
      </c>
      <c r="AA51" s="13">
        <v>0</v>
      </c>
      <c r="AB51" s="13">
        <v>0</v>
      </c>
      <c r="AC51" s="114">
        <v>-4440</v>
      </c>
      <c r="AD51" s="114">
        <f>-17898.68-17101.32</f>
        <v>-35000</v>
      </c>
      <c r="AE51" s="13">
        <v>39999.999999999884</v>
      </c>
      <c r="AF51" s="13">
        <f t="shared" si="24"/>
        <v>4999.9999999998836</v>
      </c>
      <c r="AG51" s="16">
        <f t="shared" si="10"/>
        <v>-30560</v>
      </c>
      <c r="AH51" s="44">
        <f t="shared" si="4"/>
        <v>4999.9999999998836</v>
      </c>
      <c r="AI51" s="44">
        <v>0</v>
      </c>
      <c r="AJ51" s="13">
        <f t="shared" si="11"/>
        <v>4999.9999999998836</v>
      </c>
      <c r="AK51" s="42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4999.9999999998836</v>
      </c>
      <c r="AO51" s="42">
        <v>100</v>
      </c>
      <c r="AP51" s="13">
        <f t="shared" si="14"/>
        <v>-33295.470000000118</v>
      </c>
      <c r="AQ51" s="44">
        <f t="shared" si="36"/>
        <v>13.05637455291679</v>
      </c>
      <c r="AR51" s="12">
        <f t="shared" si="81"/>
        <v>-384278.0500000001</v>
      </c>
      <c r="AS51" s="12">
        <f t="shared" si="82"/>
        <v>1.2844289576563293</v>
      </c>
      <c r="AT51" s="31">
        <f>AF51</f>
        <v>4999.9999999998836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80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7">T52</f>
        <v>155286.9</v>
      </c>
      <c r="V52" s="13">
        <v>11800</v>
      </c>
      <c r="W52" s="13"/>
      <c r="X52" s="13"/>
      <c r="Y52" s="13">
        <f t="shared" ref="Y52:Y53" si="98">V52</f>
        <v>11800</v>
      </c>
      <c r="Z52" s="13"/>
      <c r="AA52" s="13">
        <v>0</v>
      </c>
      <c r="AB52" s="13">
        <v>0</v>
      </c>
      <c r="AC52" s="114">
        <v>14700</v>
      </c>
      <c r="AD52" s="114">
        <f>3200+2700</f>
        <v>5900</v>
      </c>
      <c r="AE52" s="13">
        <v>45505</v>
      </c>
      <c r="AF52" s="13">
        <f t="shared" si="24"/>
        <v>51405</v>
      </c>
      <c r="AG52" s="16">
        <f t="shared" si="10"/>
        <v>-8800</v>
      </c>
      <c r="AH52" s="44"/>
      <c r="AI52" s="44"/>
      <c r="AJ52" s="13">
        <f t="shared" si="11"/>
        <v>51405</v>
      </c>
      <c r="AK52" s="42">
        <v>100</v>
      </c>
      <c r="AL52" s="13"/>
      <c r="AM52" s="13"/>
      <c r="AN52" s="42">
        <f t="shared" si="12"/>
        <v>51405</v>
      </c>
      <c r="AO52" s="42">
        <v>100</v>
      </c>
      <c r="AP52" s="13">
        <f t="shared" si="14"/>
        <v>39605</v>
      </c>
      <c r="AQ52" s="44">
        <f t="shared" si="36"/>
        <v>435.63559322033899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2943570.33</v>
      </c>
      <c r="L53" s="13">
        <v>0</v>
      </c>
      <c r="M53" s="37">
        <f>AF53</f>
        <v>771910.45000000007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7"/>
        <v>5381046.0499999998</v>
      </c>
      <c r="V53" s="13">
        <v>2031597.45</v>
      </c>
      <c r="W53" s="13"/>
      <c r="X53" s="13"/>
      <c r="Y53" s="13">
        <f t="shared" si="98"/>
        <v>2031597.45</v>
      </c>
      <c r="Z53" s="13">
        <v>2715689.65</v>
      </c>
      <c r="AA53" s="13">
        <v>2943570.33</v>
      </c>
      <c r="AB53" s="13">
        <v>478612.28</v>
      </c>
      <c r="AC53" s="13">
        <v>154781.39000000001</v>
      </c>
      <c r="AD53" s="13">
        <f>115765.16+5000+3200+5000</f>
        <v>128965.16</v>
      </c>
      <c r="AE53" s="13">
        <v>642945.29</v>
      </c>
      <c r="AF53" s="13">
        <f t="shared" si="24"/>
        <v>771910.45000000007</v>
      </c>
      <c r="AG53" s="16">
        <f t="shared" si="10"/>
        <v>-25816.23000000001</v>
      </c>
      <c r="AH53" s="44">
        <f t="shared" si="4"/>
        <v>-1943779.1999999997</v>
      </c>
      <c r="AI53" s="44">
        <f t="shared" si="85"/>
        <v>28.424103984046926</v>
      </c>
      <c r="AJ53" s="13">
        <f t="shared" si="11"/>
        <v>-2171659.88</v>
      </c>
      <c r="AK53" s="42">
        <f t="shared" si="19"/>
        <v>26.223611582604857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293298.17000000004</v>
      </c>
      <c r="AO53" s="42">
        <f t="shared" si="13"/>
        <v>161.28095376073509</v>
      </c>
      <c r="AP53" s="13">
        <f t="shared" si="14"/>
        <v>-1259687</v>
      </c>
      <c r="AQ53" s="42">
        <f t="shared" si="36"/>
        <v>37.995246056249975</v>
      </c>
      <c r="AR53" s="12">
        <f t="shared" si="81"/>
        <v>0</v>
      </c>
      <c r="AS53" s="12">
        <f t="shared" si="82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24" t="s">
        <v>1</v>
      </c>
      <c r="C54" s="124"/>
      <c r="D54" s="124"/>
      <c r="E54" s="124"/>
      <c r="F54" s="124"/>
      <c r="G54" s="124"/>
      <c r="H54" s="124"/>
      <c r="I54" s="124"/>
      <c r="J54" s="12">
        <f t="shared" ref="J54:R54" si="99">J55+J56+J57+J58+J59+J61+J62</f>
        <v>1731743649.9200001</v>
      </c>
      <c r="K54" s="12">
        <f t="shared" si="99"/>
        <v>1726065816.5200002</v>
      </c>
      <c r="L54" s="26">
        <f t="shared" si="99"/>
        <v>754564037.68999994</v>
      </c>
      <c r="M54" s="26">
        <f t="shared" si="99"/>
        <v>750829669.28999996</v>
      </c>
      <c r="N54" s="12">
        <f t="shared" si="99"/>
        <v>1949401304.4499998</v>
      </c>
      <c r="O54" s="12">
        <f t="shared" si="99"/>
        <v>1942881158.9100001</v>
      </c>
      <c r="P54" s="12">
        <f t="shared" si="99"/>
        <v>1942881158.9100001</v>
      </c>
      <c r="Q54" s="12">
        <v>1942881158.9100001</v>
      </c>
      <c r="R54" s="12">
        <f t="shared" si="99"/>
        <v>1942881158.9100001</v>
      </c>
      <c r="S54" s="12">
        <f t="shared" ref="S54:T54" si="100">S55+S56+S57+S58+S59+S60+S61+S62</f>
        <v>2058217674.4300001</v>
      </c>
      <c r="T54" s="12">
        <f t="shared" si="100"/>
        <v>2039899297.8500004</v>
      </c>
      <c r="U54" s="12">
        <f t="shared" ref="U54:AB54" si="101">U55+U56+U57+U58+U59+U61+U62</f>
        <v>2039899297.8500004</v>
      </c>
      <c r="V54" s="12">
        <f>V55+V56+V57+V58+V59+V60+V61+V62</f>
        <v>286418641.44999999</v>
      </c>
      <c r="W54" s="12"/>
      <c r="X54" s="12">
        <f t="shared" si="101"/>
        <v>0</v>
      </c>
      <c r="Y54" s="12">
        <f>Y55+Y56+Y57+Y58+Y59+Y60+Y61+Y62</f>
        <v>286418641.44999999</v>
      </c>
      <c r="Z54" s="12">
        <f t="shared" si="101"/>
        <v>1741578685.6100001</v>
      </c>
      <c r="AA54" s="12">
        <f t="shared" si="101"/>
        <v>1652639506.0899999</v>
      </c>
      <c r="AB54" s="12">
        <f t="shared" si="101"/>
        <v>284191812.36000001</v>
      </c>
      <c r="AC54" s="12">
        <f>AC55+AC56+AC57+AC58+AC59+AC61+AC62</f>
        <v>38252484.649999999</v>
      </c>
      <c r="AD54" s="12">
        <f>AD55+AD56+AD57+AD58+AD59+AD61+AD62</f>
        <v>3043637.08</v>
      </c>
      <c r="AE54" s="12">
        <v>143221547.87</v>
      </c>
      <c r="AF54" s="12">
        <f t="shared" ref="AF54" si="102">AF55+AF56+AF57+AF58+AF59+AF61+AF62</f>
        <v>146265184.95000002</v>
      </c>
      <c r="AG54" s="12">
        <f t="shared" si="10"/>
        <v>-35208847.57</v>
      </c>
      <c r="AH54" s="44">
        <f t="shared" si="4"/>
        <v>-1595313500.6600001</v>
      </c>
      <c r="AI54" s="44">
        <f t="shared" si="85"/>
        <v>8.3984252999036677</v>
      </c>
      <c r="AJ54" s="12">
        <f t="shared" si="11"/>
        <v>-1506374321.1399999</v>
      </c>
      <c r="AK54" s="44">
        <f t="shared" si="19"/>
        <v>8.8503986750292931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-137926627.41</v>
      </c>
      <c r="AO54" s="44">
        <f t="shared" si="13"/>
        <v>51.467065055596528</v>
      </c>
      <c r="AP54" s="12">
        <f t="shared" si="14"/>
        <v>-140153456.49999997</v>
      </c>
      <c r="AQ54" s="44">
        <f t="shared" si="36"/>
        <v>51.066922253918129</v>
      </c>
      <c r="AR54" s="12">
        <f t="shared" si="81"/>
        <v>-604564484.33999991</v>
      </c>
      <c r="AS54" s="12">
        <f t="shared" si="82"/>
        <v>19.480474857674633</v>
      </c>
      <c r="AT54" s="34" t="e">
        <f t="shared" ref="AT54" si="103">AT55+AT56+AT57+AT58+AT59+AT61+AT62</f>
        <v>#REF!</v>
      </c>
    </row>
    <row r="55" spans="1:48" s="10" customFormat="1" ht="38.25" customHeight="1" x14ac:dyDescent="0.3">
      <c r="A55" s="9"/>
      <c r="B55" s="124" t="s">
        <v>6</v>
      </c>
      <c r="C55" s="124"/>
      <c r="D55" s="124"/>
      <c r="E55" s="124"/>
      <c r="F55" s="124"/>
      <c r="G55" s="124"/>
      <c r="H55" s="124"/>
      <c r="I55" s="124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4">O55</f>
        <v>436509000</v>
      </c>
      <c r="Q55" s="12">
        <v>436509000</v>
      </c>
      <c r="R55" s="12">
        <f t="shared" ref="R55:R62" si="105">Q55</f>
        <v>436509000</v>
      </c>
      <c r="S55" s="12">
        <v>543552380</v>
      </c>
      <c r="T55" s="12">
        <v>543552380</v>
      </c>
      <c r="U55" s="12">
        <f t="shared" ref="U55:U62" si="106">T55</f>
        <v>543552380</v>
      </c>
      <c r="V55" s="12">
        <v>90547000</v>
      </c>
      <c r="W55" s="12"/>
      <c r="X55" s="12"/>
      <c r="Y55" s="12">
        <f t="shared" ref="Y55:Y62" si="107">V55</f>
        <v>90547000</v>
      </c>
      <c r="Z55" s="12">
        <v>543282000</v>
      </c>
      <c r="AA55" s="12">
        <v>504630000</v>
      </c>
      <c r="AB55" s="34">
        <v>84105000</v>
      </c>
      <c r="AC55" s="12">
        <v>16595168</v>
      </c>
      <c r="AD55" s="12">
        <v>0</v>
      </c>
      <c r="AE55" s="12">
        <v>84105000</v>
      </c>
      <c r="AF55" s="12">
        <f t="shared" si="24"/>
        <v>84105000</v>
      </c>
      <c r="AG55" s="12">
        <f t="shared" si="10"/>
        <v>-16595168</v>
      </c>
      <c r="AH55" s="44">
        <f t="shared" si="4"/>
        <v>-459177000</v>
      </c>
      <c r="AI55" s="44">
        <f t="shared" si="85"/>
        <v>15.48091046638762</v>
      </c>
      <c r="AJ55" s="12">
        <f t="shared" si="11"/>
        <v>-420525000</v>
      </c>
      <c r="AK55" s="44">
        <f t="shared" si="19"/>
        <v>16.666666666666668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0</v>
      </c>
      <c r="AO55" s="44">
        <f t="shared" si="13"/>
        <v>100</v>
      </c>
      <c r="AP55" s="12">
        <f t="shared" si="14"/>
        <v>-6442000</v>
      </c>
      <c r="AQ55" s="44">
        <f t="shared" si="36"/>
        <v>92.885462798325733</v>
      </c>
      <c r="AR55" s="12">
        <f t="shared" si="81"/>
        <v>-117384000</v>
      </c>
      <c r="AS55" s="12">
        <f t="shared" si="82"/>
        <v>41.741732799309148</v>
      </c>
      <c r="AT55" s="34">
        <v>436509000</v>
      </c>
    </row>
    <row r="56" spans="1:48" s="10" customFormat="1" ht="43.5" customHeight="1" x14ac:dyDescent="0.3">
      <c r="A56" s="9"/>
      <c r="B56" s="124" t="s">
        <v>5</v>
      </c>
      <c r="C56" s="124"/>
      <c r="D56" s="124"/>
      <c r="E56" s="124"/>
      <c r="F56" s="124"/>
      <c r="G56" s="124"/>
      <c r="H56" s="124"/>
      <c r="I56" s="124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4"/>
        <v>266680542.02000001</v>
      </c>
      <c r="Q56" s="12">
        <v>266680542.02000001</v>
      </c>
      <c r="R56" s="12">
        <f t="shared" si="105"/>
        <v>266680542.02000001</v>
      </c>
      <c r="S56" s="12">
        <v>448087921.25</v>
      </c>
      <c r="T56" s="12">
        <v>432403468.83000004</v>
      </c>
      <c r="U56" s="12">
        <f t="shared" si="106"/>
        <v>432403468.83000004</v>
      </c>
      <c r="V56" s="12">
        <v>5563769.0899999999</v>
      </c>
      <c r="W56" s="12"/>
      <c r="X56" s="12"/>
      <c r="Y56" s="12">
        <f t="shared" si="107"/>
        <v>5563769.0899999999</v>
      </c>
      <c r="Z56" s="12">
        <v>164450526.09999999</v>
      </c>
      <c r="AA56" s="12">
        <v>304597569.80000001</v>
      </c>
      <c r="AB56" s="12">
        <v>6842345.4699999997</v>
      </c>
      <c r="AC56" s="12">
        <v>3658415.01</v>
      </c>
      <c r="AD56" s="12">
        <f>1269095.5</f>
        <v>1269095.5</v>
      </c>
      <c r="AE56" s="12">
        <v>5290894.5299999993</v>
      </c>
      <c r="AF56" s="12">
        <f t="shared" si="24"/>
        <v>6559990.0299999993</v>
      </c>
      <c r="AG56" s="12">
        <f t="shared" si="10"/>
        <v>-2389319.5099999998</v>
      </c>
      <c r="AH56" s="44">
        <f t="shared" si="4"/>
        <v>-157890536.06999999</v>
      </c>
      <c r="AI56" s="44">
        <f t="shared" si="85"/>
        <v>3.98903559968605</v>
      </c>
      <c r="AJ56" s="12">
        <f t="shared" si="11"/>
        <v>-298037579.77000004</v>
      </c>
      <c r="AK56" s="44">
        <f t="shared" si="19"/>
        <v>2.1536580328947847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-282355.44000000041</v>
      </c>
      <c r="AO56" s="44">
        <f t="shared" si="13"/>
        <v>95.87341151893051</v>
      </c>
      <c r="AP56" s="12">
        <f t="shared" si="14"/>
        <v>996220.93999999948</v>
      </c>
      <c r="AQ56" s="44">
        <v>0</v>
      </c>
      <c r="AR56" s="12">
        <f t="shared" si="81"/>
        <v>-61692194.069999993</v>
      </c>
      <c r="AS56" s="12">
        <f t="shared" si="82"/>
        <v>9.6113994247987744</v>
      </c>
      <c r="AT56" s="34" t="e">
        <f>#REF!</f>
        <v>#REF!</v>
      </c>
    </row>
    <row r="57" spans="1:48" s="10" customFormat="1" ht="45" customHeight="1" x14ac:dyDescent="0.3">
      <c r="A57" s="9"/>
      <c r="B57" s="124" t="s">
        <v>4</v>
      </c>
      <c r="C57" s="124"/>
      <c r="D57" s="124"/>
      <c r="E57" s="124"/>
      <c r="F57" s="124"/>
      <c r="G57" s="124"/>
      <c r="H57" s="124"/>
      <c r="I57" s="124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4"/>
        <v>1213354064.45</v>
      </c>
      <c r="Q57" s="12">
        <v>1213354064.45</v>
      </c>
      <c r="R57" s="12">
        <f t="shared" si="105"/>
        <v>1213354064.45</v>
      </c>
      <c r="S57" s="12">
        <v>1052485113.04</v>
      </c>
      <c r="T57" s="12">
        <v>1050017221.74</v>
      </c>
      <c r="U57" s="12">
        <f t="shared" si="106"/>
        <v>1050017221.74</v>
      </c>
      <c r="V57" s="12">
        <v>189623702.25</v>
      </c>
      <c r="W57" s="12"/>
      <c r="X57" s="12"/>
      <c r="Y57" s="12">
        <f t="shared" si="107"/>
        <v>189623702.25</v>
      </c>
      <c r="Z57" s="12">
        <v>1032066181.7</v>
      </c>
      <c r="AA57" s="12">
        <v>841614535.71000004</v>
      </c>
      <c r="AB57" s="12">
        <v>192942671.09</v>
      </c>
      <c r="AC57" s="12">
        <v>17998901.640000001</v>
      </c>
      <c r="AD57" s="12">
        <v>1774541.58</v>
      </c>
      <c r="AE57" s="12">
        <v>110551073.25999999</v>
      </c>
      <c r="AF57" s="12">
        <f t="shared" si="24"/>
        <v>112325614.83999999</v>
      </c>
      <c r="AG57" s="12">
        <f t="shared" si="10"/>
        <v>-16224360.060000001</v>
      </c>
      <c r="AH57" s="44">
        <f t="shared" si="4"/>
        <v>-919740566.86000001</v>
      </c>
      <c r="AI57" s="44">
        <f t="shared" si="85"/>
        <v>10.883567045572537</v>
      </c>
      <c r="AJ57" s="12">
        <f t="shared" si="11"/>
        <v>-729288920.87</v>
      </c>
      <c r="AK57" s="44">
        <f t="shared" si="19"/>
        <v>13.346444253750944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-80617056.250000015</v>
      </c>
      <c r="AO57" s="44">
        <f t="shared" si="13"/>
        <v>58.21709329793854</v>
      </c>
      <c r="AP57" s="12">
        <f t="shared" si="14"/>
        <v>-77298087.410000011</v>
      </c>
      <c r="AQ57" s="44">
        <f t="shared" si="36"/>
        <v>59.236062531839949</v>
      </c>
      <c r="AR57" s="12">
        <f t="shared" si="81"/>
        <v>-372173067.28000003</v>
      </c>
      <c r="AS57" s="12">
        <f t="shared" si="82"/>
        <v>23.18388449448441</v>
      </c>
      <c r="AT57" s="34" t="e">
        <f>#REF!</f>
        <v>#REF!</v>
      </c>
    </row>
    <row r="58" spans="1:48" s="10" customFormat="1" ht="27" customHeight="1" x14ac:dyDescent="0.3">
      <c r="A58" s="9"/>
      <c r="B58" s="124" t="s">
        <v>3</v>
      </c>
      <c r="C58" s="124"/>
      <c r="D58" s="124"/>
      <c r="E58" s="124"/>
      <c r="F58" s="124"/>
      <c r="G58" s="124"/>
      <c r="H58" s="124"/>
      <c r="I58" s="124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4"/>
        <v>31536396.41</v>
      </c>
      <c r="Q58" s="12">
        <v>31536396.41</v>
      </c>
      <c r="R58" s="12">
        <f t="shared" si="105"/>
        <v>31536396.41</v>
      </c>
      <c r="S58" s="12">
        <v>14687976.27</v>
      </c>
      <c r="T58" s="12">
        <v>14514443.27</v>
      </c>
      <c r="U58" s="12">
        <f t="shared" si="106"/>
        <v>14514443.27</v>
      </c>
      <c r="V58" s="12">
        <v>1280758.06</v>
      </c>
      <c r="W58" s="12"/>
      <c r="X58" s="12"/>
      <c r="Y58" s="12">
        <f t="shared" si="107"/>
        <v>1280758.06</v>
      </c>
      <c r="Z58" s="12">
        <v>1779977.81</v>
      </c>
      <c r="AA58" s="12">
        <v>1797400.58</v>
      </c>
      <c r="AB58" s="12">
        <v>301795.8</v>
      </c>
      <c r="AC58" s="12">
        <v>0</v>
      </c>
      <c r="AD58" s="12">
        <v>0</v>
      </c>
      <c r="AE58" s="12">
        <v>301795.8</v>
      </c>
      <c r="AF58" s="12">
        <f t="shared" si="24"/>
        <v>301795.8</v>
      </c>
      <c r="AG58" s="12">
        <f t="shared" si="10"/>
        <v>0</v>
      </c>
      <c r="AH58" s="44">
        <f t="shared" si="4"/>
        <v>-1478182.01</v>
      </c>
      <c r="AI58" s="44">
        <f t="shared" si="85"/>
        <v>16.95503159109607</v>
      </c>
      <c r="AJ58" s="12">
        <f t="shared" si="11"/>
        <v>-1495604.78</v>
      </c>
      <c r="AK58" s="44">
        <f t="shared" si="19"/>
        <v>16.790681129078081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0</v>
      </c>
      <c r="AO58" s="44">
        <f t="shared" si="13"/>
        <v>100</v>
      </c>
      <c r="AP58" s="12">
        <f t="shared" si="14"/>
        <v>-978962.26</v>
      </c>
      <c r="AQ58" s="44">
        <f t="shared" si="36"/>
        <v>23.563841558022283</v>
      </c>
      <c r="AR58" s="12">
        <f t="shared" si="81"/>
        <v>-227604.63000000006</v>
      </c>
      <c r="AS58" s="12">
        <f t="shared" si="82"/>
        <v>57.007093855212766</v>
      </c>
      <c r="AT58" s="34" t="e">
        <f>#REF!</f>
        <v>#REF!</v>
      </c>
    </row>
    <row r="59" spans="1:48" s="10" customFormat="1" ht="39" customHeight="1" x14ac:dyDescent="0.3">
      <c r="A59" s="9"/>
      <c r="B59" s="124" t="s">
        <v>2</v>
      </c>
      <c r="C59" s="124"/>
      <c r="D59" s="124"/>
      <c r="E59" s="124"/>
      <c r="F59" s="124"/>
      <c r="G59" s="124"/>
      <c r="H59" s="124"/>
      <c r="I59" s="124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4"/>
        <v>18244.099999999999</v>
      </c>
      <c r="Q59" s="12">
        <v>18244.099999999999</v>
      </c>
      <c r="R59" s="12">
        <f t="shared" si="105"/>
        <v>18244.099999999999</v>
      </c>
      <c r="S59" s="12">
        <v>102600.69</v>
      </c>
      <c r="T59" s="12">
        <v>110100.69</v>
      </c>
      <c r="U59" s="12">
        <f t="shared" si="106"/>
        <v>110100.69</v>
      </c>
      <c r="V59" s="12">
        <v>3193.4</v>
      </c>
      <c r="W59" s="12"/>
      <c r="X59" s="12"/>
      <c r="Y59" s="12">
        <f t="shared" si="107"/>
        <v>3193.4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4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44">
        <v>0</v>
      </c>
      <c r="AP59" s="12">
        <f t="shared" si="14"/>
        <v>-3193.4</v>
      </c>
      <c r="AQ59" s="44">
        <f t="shared" si="36"/>
        <v>0</v>
      </c>
      <c r="AR59" s="12">
        <f t="shared" si="81"/>
        <v>-15145.1</v>
      </c>
      <c r="AS59" s="12">
        <f t="shared" si="82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7"/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f t="shared" si="24"/>
        <v>0</v>
      </c>
      <c r="AG60" s="12">
        <f>AD60-AC60</f>
        <v>0</v>
      </c>
      <c r="AH60" s="44">
        <f t="shared" si="4"/>
        <v>0</v>
      </c>
      <c r="AI60" s="44">
        <v>0</v>
      </c>
      <c r="AJ60" s="12">
        <f t="shared" si="11"/>
        <v>0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0</v>
      </c>
      <c r="AO60" s="44">
        <v>0</v>
      </c>
      <c r="AP60" s="12">
        <f>AF60-Y60</f>
        <v>0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4"/>
        <v>280404</v>
      </c>
      <c r="Q61" s="12">
        <v>280404</v>
      </c>
      <c r="R61" s="12">
        <f t="shared" si="105"/>
        <v>280404</v>
      </c>
      <c r="S61" s="12">
        <v>0</v>
      </c>
      <c r="T61" s="12">
        <v>0.13999999999941792</v>
      </c>
      <c r="U61" s="12">
        <f t="shared" si="106"/>
        <v>0.13999999999941792</v>
      </c>
      <c r="V61" s="12">
        <v>550.14</v>
      </c>
      <c r="W61" s="12"/>
      <c r="X61" s="12"/>
      <c r="Y61" s="12">
        <f t="shared" si="107"/>
        <v>550.14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4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-550.14</v>
      </c>
      <c r="AQ61" s="44">
        <f t="shared" si="36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4" t="s">
        <v>0</v>
      </c>
      <c r="C62" s="124"/>
      <c r="D62" s="124"/>
      <c r="E62" s="124"/>
      <c r="F62" s="124"/>
      <c r="G62" s="124"/>
      <c r="H62" s="124"/>
      <c r="I62" s="124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4"/>
        <v>-5497492.0700000003</v>
      </c>
      <c r="Q62" s="12">
        <v>-5497492.0700000003</v>
      </c>
      <c r="R62" s="12">
        <f t="shared" si="105"/>
        <v>-5497492.0700000003</v>
      </c>
      <c r="S62" s="12">
        <v>-698316.82</v>
      </c>
      <c r="T62" s="12">
        <v>-698316.82000000018</v>
      </c>
      <c r="U62" s="12">
        <f t="shared" si="106"/>
        <v>-698316.82000000018</v>
      </c>
      <c r="V62" s="12">
        <v>-600331.49</v>
      </c>
      <c r="W62" s="12"/>
      <c r="X62" s="12"/>
      <c r="Y62" s="12">
        <f t="shared" si="107"/>
        <v>-600331.49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-57027215.719999999</v>
      </c>
      <c r="AF62" s="12">
        <f t="shared" si="24"/>
        <v>-57027215.719999999</v>
      </c>
      <c r="AG62" s="12">
        <f t="shared" si="10"/>
        <v>0</v>
      </c>
      <c r="AH62" s="44">
        <f t="shared" si="4"/>
        <v>-57027215.719999999</v>
      </c>
      <c r="AI62" s="44">
        <v>0</v>
      </c>
      <c r="AJ62" s="12">
        <f t="shared" si="11"/>
        <v>-57027215.719999999</v>
      </c>
      <c r="AK62" s="44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-57027215.719999999</v>
      </c>
      <c r="AO62" s="44">
        <v>0</v>
      </c>
      <c r="AP62" s="12">
        <f t="shared" si="14"/>
        <v>-56426884.229999997</v>
      </c>
      <c r="AQ62" s="44">
        <f t="shared" si="36"/>
        <v>9499.287755170064</v>
      </c>
      <c r="AR62" s="12">
        <f>AF62-M62</f>
        <v>-53072473.259999998</v>
      </c>
      <c r="AS62" s="12">
        <f>IF(M62=0,0,AF62/M62*100)</f>
        <v>1441.995687375304</v>
      </c>
      <c r="AT62" s="34">
        <f>AF62</f>
        <v>-57027215.719999999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8">J54+J7</f>
        <v>2092393430.8699999</v>
      </c>
      <c r="K63" s="13">
        <f t="shared" si="108"/>
        <v>2071113089.6151345</v>
      </c>
      <c r="L63" s="28">
        <f t="shared" si="108"/>
        <v>881017080.54999995</v>
      </c>
      <c r="M63" s="26">
        <f t="shared" si="108"/>
        <v>870579150.6655432</v>
      </c>
      <c r="N63" s="12">
        <f t="shared" si="108"/>
        <v>2309803775.2699995</v>
      </c>
      <c r="O63" s="12">
        <f t="shared" si="108"/>
        <v>2328450949.6999998</v>
      </c>
      <c r="P63" s="12">
        <f t="shared" si="108"/>
        <v>2327457942.815587</v>
      </c>
      <c r="Q63" s="12">
        <f t="shared" si="108"/>
        <v>2328450949.6999998</v>
      </c>
      <c r="R63" s="12">
        <f t="shared" si="108"/>
        <v>2324234116.085587</v>
      </c>
      <c r="S63" s="12">
        <f t="shared" si="108"/>
        <v>2468054121.4099998</v>
      </c>
      <c r="T63" s="12">
        <f t="shared" si="108"/>
        <v>2473502940.9500003</v>
      </c>
      <c r="U63" s="12">
        <f t="shared" si="108"/>
        <v>2610269494.995842</v>
      </c>
      <c r="V63" s="12">
        <f t="shared" si="108"/>
        <v>307904772.46999997</v>
      </c>
      <c r="W63" s="12"/>
      <c r="X63" s="12">
        <f t="shared" ref="X63:AF63" si="109">X54+X7</f>
        <v>0</v>
      </c>
      <c r="Y63" s="12">
        <f t="shared" si="109"/>
        <v>313887725.91409546</v>
      </c>
      <c r="Z63" s="12">
        <f t="shared" si="109"/>
        <v>2141993785.2600002</v>
      </c>
      <c r="AA63" s="12">
        <f t="shared" si="109"/>
        <v>2230214141.9299998</v>
      </c>
      <c r="AB63" s="12">
        <f t="shared" si="109"/>
        <v>332557977.15000004</v>
      </c>
      <c r="AC63" s="12">
        <f t="shared" si="109"/>
        <v>41888980.039999999</v>
      </c>
      <c r="AD63" s="12">
        <f t="shared" si="109"/>
        <v>38471511.129999995</v>
      </c>
      <c r="AE63" s="12">
        <f t="shared" si="109"/>
        <v>183216645.03</v>
      </c>
      <c r="AF63" s="12">
        <f t="shared" si="109"/>
        <v>221688156.16000003</v>
      </c>
      <c r="AG63" s="12">
        <f t="shared" si="10"/>
        <v>-3417468.9100000039</v>
      </c>
      <c r="AH63" s="12">
        <f t="shared" si="4"/>
        <v>-1920305629.1000001</v>
      </c>
      <c r="AI63" s="12">
        <f>AF63/Z63*100</f>
        <v>10.349617150410687</v>
      </c>
      <c r="AJ63" s="12">
        <f>AF63-AA63</f>
        <v>-2008525985.7699997</v>
      </c>
      <c r="AK63" s="12">
        <f t="shared" si="19"/>
        <v>9.9402183849553492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-110869820.99000001</v>
      </c>
      <c r="AO63" s="12">
        <f t="shared" si="13"/>
        <v>66.661506080790161</v>
      </c>
      <c r="AP63" s="12">
        <f t="shared" si="14"/>
        <v>-92199569.754095435</v>
      </c>
      <c r="AQ63" s="12">
        <f t="shared" si="36"/>
        <v>70.626576911985225</v>
      </c>
      <c r="AR63" s="12">
        <f>AF63-M63</f>
        <v>-648890994.50554323</v>
      </c>
      <c r="AS63" s="12">
        <f>IF(M63=0,0,AF63/M63*100)</f>
        <v>25.464445822131527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74</v>
      </c>
      <c r="Z64" s="93"/>
      <c r="AA64" s="93"/>
      <c r="AB64" s="94">
        <v>1276217451.79</v>
      </c>
      <c r="AC64" s="93"/>
      <c r="AD64" s="109"/>
      <c r="AE64" s="110">
        <v>1091597698.1400001</v>
      </c>
      <c r="AF64" s="111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313887725.91409546</v>
      </c>
      <c r="W65" s="94"/>
      <c r="X65" s="101"/>
      <c r="Y65" s="94"/>
      <c r="Z65" s="94"/>
      <c r="AA65" s="94"/>
      <c r="AB65" s="94">
        <v>1581194711.4100001</v>
      </c>
      <c r="AC65" s="95"/>
      <c r="AD65" s="110"/>
      <c r="AE65" s="112">
        <v>183216645.03</v>
      </c>
      <c r="AF65" s="110">
        <v>1229277981.27</v>
      </c>
      <c r="AG65" s="95"/>
      <c r="AJ65" s="89"/>
      <c r="AK65" s="142"/>
      <c r="AL65" s="142"/>
      <c r="AM65" s="142"/>
      <c r="AN65" s="142"/>
      <c r="AO65" s="142"/>
      <c r="AP65" s="142"/>
    </row>
    <row r="66" spans="1:44" s="78" customFormat="1" ht="18" customHeight="1" x14ac:dyDescent="0.3">
      <c r="I66" s="78" t="s">
        <v>77</v>
      </c>
      <c r="O66" s="78" t="s">
        <v>40</v>
      </c>
      <c r="Q66" s="88"/>
      <c r="V66" s="88">
        <f>V63-V10+Y10</f>
        <v>313887725.91409546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R4:AS4"/>
    <mergeCell ref="B7:I7"/>
    <mergeCell ref="B10:I10"/>
    <mergeCell ref="B11:I11"/>
    <mergeCell ref="B13:I13"/>
    <mergeCell ref="AN4:AO4"/>
    <mergeCell ref="AP4:AQ4"/>
    <mergeCell ref="X4:X5"/>
    <mergeCell ref="B14:I14"/>
    <mergeCell ref="AG4:AG5"/>
    <mergeCell ref="AH4:AI4"/>
    <mergeCell ref="AJ4:AK4"/>
    <mergeCell ref="AL4:AM4"/>
    <mergeCell ref="Y4:Y5"/>
    <mergeCell ref="Z4:Z5"/>
    <mergeCell ref="AA4:AB4"/>
    <mergeCell ref="AC4:AD4"/>
    <mergeCell ref="AE4:AE5"/>
    <mergeCell ref="AF4:AF5"/>
    <mergeCell ref="R4:R5"/>
    <mergeCell ref="S4:S5"/>
    <mergeCell ref="T4:T5"/>
    <mergeCell ref="U4:U5"/>
    <mergeCell ref="V4:V5"/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2024-03-01T13:14:46Z</cp:lastPrinted>
  <dcterms:created xsi:type="dcterms:W3CDTF">2018-12-30T09:36:16Z</dcterms:created>
  <dcterms:modified xsi:type="dcterms:W3CDTF">2024-03-01T13:14:54Z</dcterms:modified>
</cp:coreProperties>
</file>